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объем закупок на 2021" sheetId="1" r:id="rId1"/>
  </sheets>
  <definedNames>
    <definedName name="_xlnm.Print_Area" localSheetId="0">'объем закупок на 2021'!$A$1:$S$320</definedName>
  </definedNames>
  <calcPr fullCalcOnLoad="1"/>
</workbook>
</file>

<file path=xl/sharedStrings.xml><?xml version="1.0" encoding="utf-8"?>
<sst xmlns="http://schemas.openxmlformats.org/spreadsheetml/2006/main" count="793" uniqueCount="377">
  <si>
    <t>пг утв.</t>
  </si>
  <si>
    <t>пункт  закона     №44-ФЗ</t>
  </si>
  <si>
    <t>реквизиты документов</t>
  </si>
  <si>
    <t>руб.,коп.</t>
  </si>
  <si>
    <t>реквизиты договоров, мун.контрактов</t>
  </si>
  <si>
    <t xml:space="preserve">Закупки, всего:                          </t>
  </si>
  <si>
    <t>.032 0701 52 1 01 00160 611 241 003 0000 000 000 - 032.00160.000.000.03</t>
  </si>
  <si>
    <t>услуги связи</t>
  </si>
  <si>
    <t>мед осмотры</t>
  </si>
  <si>
    <t>сан-гиг обучение</t>
  </si>
  <si>
    <t>курсы повышение квалификации</t>
  </si>
  <si>
    <t>разное</t>
  </si>
  <si>
    <t>.032 0701 52 1 01 00160 611 241 013 0000 000 000 - 032.00160.000.000.13</t>
  </si>
  <si>
    <t>обслуживание приборов учета</t>
  </si>
  <si>
    <t>обслуживание АПС</t>
  </si>
  <si>
    <t>прочие противопожарные мероприятия</t>
  </si>
  <si>
    <t>обслуживание компьютерного оборудование и заправка картриджей</t>
  </si>
  <si>
    <t>микробиолог иссл, производственный контроль</t>
  </si>
  <si>
    <t>гидропромывка</t>
  </si>
  <si>
    <t>замена и поверка приборов учета</t>
  </si>
  <si>
    <t>функционирование канала связи</t>
  </si>
  <si>
    <t>.032 0701 52 1 01 71350 611 241 003 3001 141 000 - 032.71350.141.000.03</t>
  </si>
  <si>
    <t>Собственные доходы</t>
  </si>
  <si>
    <t>п.5 ч.1 ст. 93</t>
  </si>
  <si>
    <t>п.4 ч.1 ст.93</t>
  </si>
  <si>
    <t>2 млн. руб</t>
  </si>
  <si>
    <t>ест. Монополия (Ростелеком аб.плата Сан.эп.стан. - смывы, почта - переводы)</t>
  </si>
  <si>
    <t>п.8 ч.1 ст.93</t>
  </si>
  <si>
    <t>электроснабжение</t>
  </si>
  <si>
    <t>учебники</t>
  </si>
  <si>
    <t>10%</t>
  </si>
  <si>
    <t>15%</t>
  </si>
  <si>
    <t>35%</t>
  </si>
  <si>
    <t>медикаменты</t>
  </si>
  <si>
    <t>до 600 тыс. руб. изм. с 24.04</t>
  </si>
  <si>
    <t>Наименование показателя</t>
  </si>
  <si>
    <t>Код субсидии</t>
  </si>
  <si>
    <t>Сумма</t>
  </si>
  <si>
    <t>032.00160.000.000.13</t>
  </si>
  <si>
    <t>Муниципальное бюджетное общеобразовательное учреждение "Средняя общеобразовательная школа N 1" города Пикалёво</t>
  </si>
  <si>
    <t>КВР</t>
  </si>
  <si>
    <t>Код по бюджетной
классификации  
операции сектора
государственного
управления</t>
  </si>
  <si>
    <t>реквизиты извещения на размещение закупки</t>
  </si>
  <si>
    <t>дератизация</t>
  </si>
  <si>
    <t>контрольные цифры</t>
  </si>
  <si>
    <t>фактические цифры</t>
  </si>
  <si>
    <t>до 600 тыс.руб.</t>
  </si>
  <si>
    <t>Единственный поставщик</t>
  </si>
  <si>
    <t>п.1 ч.1 ст.93</t>
  </si>
  <si>
    <t>водоотвед., водоснабж., теплоснабж.</t>
  </si>
  <si>
    <t>п.29 ч.1 ст. 93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</si>
  <si>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</si>
  <si>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</si>
  <si>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</si>
  <si>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</si>
  <si>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</si>
  <si>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</si>
  <si>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</si>
  <si>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</si>
  <si>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</si>
  <si>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</si>
  <si>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</si>
  <si>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гсм</t>
  </si>
  <si>
    <t>техосмотр. Ремонт автотранспорта</t>
  </si>
  <si>
    <t>охрана помещений</t>
  </si>
  <si>
    <t>автострахование</t>
  </si>
  <si>
    <t>уборка</t>
  </si>
  <si>
    <t>07.02 52 2 01 71530 (003)</t>
  </si>
  <si>
    <t>07.02 52 2 01 71530 (013)</t>
  </si>
  <si>
    <t>ФБ</t>
  </si>
  <si>
    <t>ОБ</t>
  </si>
  <si>
    <t>.247</t>
  </si>
  <si>
    <t>.244</t>
  </si>
  <si>
    <t>п.п.5 ч.1 ст.93</t>
  </si>
  <si>
    <t>п.п.4 ч.1 ст.93</t>
  </si>
  <si>
    <t>п.п.8ч.1 ст.93</t>
  </si>
  <si>
    <t>п.п.29 ч. 1ст.93</t>
  </si>
  <si>
    <t>продукты питания (хлеб 11.01.2021-31.12.2021)</t>
  </si>
  <si>
    <t>Дог.№2 от 22.01.2021 ООО "Тихвинский хлебокомбинат"</t>
  </si>
  <si>
    <t>продукты питания (разные 11.01.2021-31.12.2021)</t>
  </si>
  <si>
    <t>Дог.№2 от 22.01.2021 ООО "ТД Марс"</t>
  </si>
  <si>
    <t>электроэнергия (в т.ч. ДЗ в сумме 80 998,63)</t>
  </si>
  <si>
    <t>Дог.№88894 от 22.01.2021 ООО "РКС-энерго"</t>
  </si>
  <si>
    <t>Дог.№04/21 от 22.01.2021 МУП "Ефимовские тепловые сети"</t>
  </si>
  <si>
    <t xml:space="preserve">фальсификация + </t>
  </si>
  <si>
    <t>Теплоснабжение (Самойлово) (в т.ч. КЗ в сумме 33 147,64)</t>
  </si>
  <si>
    <t>организация питания (01.02.2021 - 31.05.2021)</t>
  </si>
  <si>
    <t>аук. для СМП</t>
  </si>
  <si>
    <t>Контракты, заключенные по результатам конкурсных процедур 2020 г.</t>
  </si>
  <si>
    <t>К-кт № 0145300013120000270 от 22.01.2021 ООО "ТД Марс"</t>
  </si>
  <si>
    <t>не вкл.</t>
  </si>
  <si>
    <t>не вкл</t>
  </si>
  <si>
    <t>охрана помещений (01.01.2021-31.03.2021)</t>
  </si>
  <si>
    <t>Дог.№01 от 22.01.2021 ООО "ОО "ТОПАЗ"</t>
  </si>
  <si>
    <t>Теплоснабжение</t>
  </si>
  <si>
    <t>Дог.№131 от 28.01.2021 АО "ПТС"</t>
  </si>
  <si>
    <t>Теплоснабжение и поставка горячей воды</t>
  </si>
  <si>
    <t>Дог.№18 от 28.01.21 АО "ПТС"</t>
  </si>
  <si>
    <t>Электроэнергия (в т.ч. ДЗ в сумме 44 570,96)</t>
  </si>
  <si>
    <t>Дог.№47280000317548 от 28.01.21 АО "ПСК"</t>
  </si>
  <si>
    <t>уборка (01.01.2021-28.02.2021)</t>
  </si>
  <si>
    <t>Дог.№2 от 22.01.2021 МАУ "ХЭС"</t>
  </si>
  <si>
    <t>проведение работ по эксплуатации и тех.обслуживанию объектов и помещений по адресу:
187600, ЛО, г.Пикалево, ул.Школьная, д.6
187683, ЛО, дер.Анисимово, д.12 (01.01.2021-31.12.2021)</t>
  </si>
  <si>
    <t>Дог.№3 от 22.01.2021 МАУ "ХЭС"</t>
  </si>
  <si>
    <t>услуги по обслуживанию узла учета тепловой энергии по адресу: 187600, ЛО, г.Пикалево, ул.Школьная, д.6</t>
  </si>
  <si>
    <t>Дог.№6 от 22.01.2021 ООО "УС"</t>
  </si>
  <si>
    <t>услуги по обслуживанию узла учета тепловой энергии по адресу:
187683, ЛО, дер.Анисимово, д.12
187681, ЛО, пос.Совхозный, д.16</t>
  </si>
  <si>
    <t>Дог.№5 от 22.01.2021 ООО "УС"</t>
  </si>
  <si>
    <t>Оказание услуг по обращению с твердыми коммунальными отходами</t>
  </si>
  <si>
    <t>Дог.№14084БО-3/01-21 от 02.02.2021 Ао "УК по обращению с отходами в ЛО"</t>
  </si>
  <si>
    <t>032.71440.141.000.15</t>
  </si>
  <si>
    <t>аукцион для СМП</t>
  </si>
  <si>
    <t>032.S4840.141.000.15</t>
  </si>
  <si>
    <t>032.S4840.000.000.15</t>
  </si>
  <si>
    <t xml:space="preserve"> СУБСИДИИ НА ИНЫЕ ЦЕЛИ</t>
  </si>
  <si>
    <t>.032 0314 57 1 01 13320 612 241 015  - .032.13320.000.000.15</t>
  </si>
  <si>
    <t xml:space="preserve">СПТС 112 </t>
  </si>
  <si>
    <t>Росгвардия канал связи</t>
  </si>
  <si>
    <t>Росгвардия тех обслуживание</t>
  </si>
  <si>
    <t>СПТС - 112 установка и присоединение</t>
  </si>
  <si>
    <t>Росгвардия монтаж, охрана</t>
  </si>
  <si>
    <t xml:space="preserve">.032 0701 52 1 02 S4840 </t>
  </si>
  <si>
    <t>междугородная и международная связь</t>
  </si>
  <si>
    <t>Дог.№247000004002-РТК от 22.01.2021 ПАО "Ростелеком"</t>
  </si>
  <si>
    <t>технический осмотр ГАЗ 322132</t>
  </si>
  <si>
    <t>Дог.№04/21 от 03.02.2021 ООО "пикалевский ЦБДД"</t>
  </si>
  <si>
    <t>интернет (Самойлово и Анисимово)</t>
  </si>
  <si>
    <t>Дог.№247000032567 от 22.01.2021 Пао "Ростелеком"</t>
  </si>
  <si>
    <t>приобретение пуля пневматическая</t>
  </si>
  <si>
    <t>Ав отчет №22 от 01.02.2021 Кубасов А.И.</t>
  </si>
  <si>
    <t>Дог.№105/21-ПК-ТО от 01.02.2021 ООО "Гранд-сервис"</t>
  </si>
  <si>
    <t>питание (сухпайки 11.01.2021-31.01.2021, оплата до 28.02.2021)</t>
  </si>
  <si>
    <t>Дог.№2 от 22.01.2021 ООО ТД Марс"</t>
  </si>
  <si>
    <t>аренда нежилых помещений</t>
  </si>
  <si>
    <t>Дог.№2747/01-2021 от 31.01.2021 ООО "ПГЛЗ"</t>
  </si>
  <si>
    <t>техническое обслуживание системы видеонаблюдения</t>
  </si>
  <si>
    <t>Дог.№106/21-ТО от 01.02.2021 ООО "Гранд-сервис"</t>
  </si>
  <si>
    <t>Дог.№01_0000_00707_10 от 22.01.2021 АО "ЦБОП"</t>
  </si>
  <si>
    <t>доступ к сети Интернет</t>
  </si>
  <si>
    <t xml:space="preserve">Дог.№5 от 05.02.2021 МБОУ ДО "БЦДО" </t>
  </si>
  <si>
    <t>Дог.№1 от 22.01.2021 ООО "Молочные продукты"</t>
  </si>
  <si>
    <t>продукты питания (молочка 11.01.2021-31.12.2021)</t>
  </si>
  <si>
    <t>сопровождение программы 1С</t>
  </si>
  <si>
    <t>Дог.№С21-041 от 22.01.2021 ООО "ПК Сервис"</t>
  </si>
  <si>
    <t>Дог.№247000004002 от 22.01.2021 ПАО "Ростелеком"</t>
  </si>
  <si>
    <t>система мониторинга ГЛОНАСС</t>
  </si>
  <si>
    <t>Дог.№12 от 01.02.2021 ООО "Телематика-Авто"</t>
  </si>
  <si>
    <t>Холодное водоснабжение и водоотведение (в т.ч. ДЗ в сумме 25 976,95)</t>
  </si>
  <si>
    <t>Дог.№Бкс-БЖ-49/21-Вк от 04.02.2021</t>
  </si>
  <si>
    <t>молекулярно-биологические исследования материала от людей (ПЦР)</t>
  </si>
  <si>
    <t>Дог.№02/168/34 от 02.02.2021 ФБУЗ "ЦГиЭ ЛО"</t>
  </si>
  <si>
    <t>питание (11.01.2021-31.01.2021, оплата до 28.02.2021)</t>
  </si>
  <si>
    <t>Дог.№1 от 22.01.2021 ООО "ТД Марс"</t>
  </si>
  <si>
    <t>предрейсовый и послерейсовый осмотр</t>
  </si>
  <si>
    <t>Дог.№15/21-П от 22.01.2021 ГБУЗ ЛО "Бокситогорская МБ"</t>
  </si>
  <si>
    <t>подготовка к очередной проверке знаний по ПУЭ, ПТЭ-ЭП, ПОТ при эксплуатации ЭУ потребителей (V- группа)</t>
  </si>
  <si>
    <t>Дог.№21/21-Пз от 08.02.2021 ООО "Энерго-Сервис"</t>
  </si>
  <si>
    <t>оказание охранных услуг путем выезда мобильной группы</t>
  </si>
  <si>
    <t>Дог.№3907/1ОХ от 01.02.2021 ООО "ОП "ТОПАЗ"</t>
  </si>
  <si>
    <t>Дог.№3 от 01.02.2021 ООО "ТД МАРС"</t>
  </si>
  <si>
    <t>питание (01.02.2021-28.02.2021, оплата до 31.03.2021)</t>
  </si>
  <si>
    <t>питание (сухпайки 01.02.2021-28.02.2021, оплата до 31.03.2021)</t>
  </si>
  <si>
    <t>Дог.№4 от 01.02.2021 ООО "ТД МАРС"</t>
  </si>
  <si>
    <t>проведение работ по эксплуатации и тех.обслуживанию объектов и помещений по адресу:
187681, ЛО, пос.Совхозный, д.16</t>
  </si>
  <si>
    <t>Дог.№24 от 22.01.2021 МАУ "ХЭС"</t>
  </si>
  <si>
    <t>.0705</t>
  </si>
  <si>
    <t>ПИТАНИЕ</t>
  </si>
  <si>
    <t>032.10490.000.000.15  (5220210490)</t>
  </si>
  <si>
    <t>маталлоискатели</t>
  </si>
  <si>
    <t>032.51690.149142.15 (522E151690)</t>
  </si>
  <si>
    <t>032.51690.149.141.15 (522Е151690)</t>
  </si>
  <si>
    <t>032.51690.000.000.15 (522Е151690)</t>
  </si>
  <si>
    <t>032.S0510.141.113.15 (52202S0510)</t>
  </si>
  <si>
    <t>032.S0510.000.113.15 (52202S0510)</t>
  </si>
  <si>
    <t>032.S0840.141.000.15 (52501S0840)</t>
  </si>
  <si>
    <t>032.S0840.000.000.15 (52501S0840)</t>
  </si>
  <si>
    <t>проведение дератизации помещений по адресу: ЛО, Бокситогорский р-он, г.Пикалево, ул.Школьная, д.6</t>
  </si>
  <si>
    <t>Дог.№04/290/20 от 19.02.2021 ФБУЗ "ЦГиЭ ЛО"</t>
  </si>
  <si>
    <t>питание (01.03.2021-31.05.2021, оплата до 30.06.2021)</t>
  </si>
  <si>
    <t>Контракт №0145300013121000003 от 26.02.2021 ООО "ТД МАРС"</t>
  </si>
  <si>
    <t>уборка (01.03.2021-30.04.2021)</t>
  </si>
  <si>
    <t>Дог.№28 от 01.03.2021 МАУ "ХЭС"</t>
  </si>
  <si>
    <t>приобретение канцтоваров</t>
  </si>
  <si>
    <t>Дог.№13652668 от 01.03.2021 ООО "Комус"</t>
  </si>
  <si>
    <t>приобретение хоз.товаров</t>
  </si>
  <si>
    <t>Дог.№13652674 от 01.03.2021 ООО "Комус"</t>
  </si>
  <si>
    <t>Дог.№1 от 01.03.2021 ИП Федорова Л.Ф.</t>
  </si>
  <si>
    <t>приобретение запчастей</t>
  </si>
  <si>
    <t>приобретение журналов и штампов</t>
  </si>
  <si>
    <t>Дог.№59 от 11.03.2021 ИП Почетный А.Г.</t>
  </si>
  <si>
    <t>032.10850.000.000.15  (5220310850)</t>
  </si>
  <si>
    <t>ДС об уменьш. от 10.03.21</t>
  </si>
  <si>
    <t>д.№215 от 01.03.21 ООО"Н-Регион"</t>
  </si>
  <si>
    <t>питание (сухпайки 01.03.2021-31.03.2021, оплата до 30.04.2021)</t>
  </si>
  <si>
    <t>Дог.№5 от 01.03.2021 ООО "ТД МАРС"</t>
  </si>
  <si>
    <t>Поставка ноутбуков для оснащения центров образования естественно - научной и технической направленностей «Точка роста»</t>
  </si>
  <si>
    <t>Поставка МФУ для оснащения центров образования естественно - научной и технической направленностей «Точка роста»</t>
  </si>
  <si>
    <t>Поставка демонстрационного оборудования, моделей, макетов и аналогичных демонстрационных изделий для оснащения центров образования естественно - научной и технической направленностей «Точка роста»</t>
  </si>
  <si>
    <t>приобретение автошин</t>
  </si>
  <si>
    <t>д.№128-21/31 от 03.03.21 ООО"ВМП"</t>
  </si>
  <si>
    <t>Дог.№39-61 от 17.03.2021 ООО "ЦИТАДЕЛЬ"</t>
  </si>
  <si>
    <t>монтаж системы тревожной сигнализации (КТС) по адресу: 187600, ЛО, Бокситогорский район, г.Пикалево, ул.Школьная, д.6</t>
  </si>
  <si>
    <r>
      <t>032.R3040.149.142.</t>
    </r>
    <r>
      <rPr>
        <b/>
        <sz val="10"/>
        <rFont val="Arial Cyr"/>
        <family val="0"/>
      </rPr>
      <t>03</t>
    </r>
  </si>
  <si>
    <r>
      <t>032.R3040.149.141.</t>
    </r>
    <r>
      <rPr>
        <b/>
        <sz val="10"/>
        <rFont val="Arial Cyr"/>
        <family val="0"/>
      </rPr>
      <t>03</t>
    </r>
  </si>
  <si>
    <r>
      <t>032.R3040.149.142.</t>
    </r>
    <r>
      <rPr>
        <b/>
        <sz val="10"/>
        <rFont val="Arial Cyr"/>
        <family val="0"/>
      </rPr>
      <t>15</t>
    </r>
  </si>
  <si>
    <r>
      <t>032.R3040.149.141.</t>
    </r>
    <r>
      <rPr>
        <b/>
        <sz val="10"/>
        <rFont val="Arial Cyr"/>
        <family val="0"/>
      </rPr>
      <t>15</t>
    </r>
  </si>
  <si>
    <t>бут вода</t>
  </si>
  <si>
    <t>Дог.№2369/21ПБ от 24.03.2021 "РГПУ им.А.И.Герцена"</t>
  </si>
  <si>
    <t>обучение по программе "Психологическая безопасность в образовательной организации" (ОБ)</t>
  </si>
  <si>
    <t>обучение по программе "Психологическая безопасность в образовательной организации" (МБ)</t>
  </si>
  <si>
    <t>обучение по дополнительной программе "Повар"</t>
  </si>
  <si>
    <t>Дог.№373/2021 от 24.03.2021 АНОО ДПО ЦПКРО</t>
  </si>
  <si>
    <t>Дог.№32/1 от 01.04.2021 ФГУП "Охрана Росгвардии"</t>
  </si>
  <si>
    <r>
      <t xml:space="preserve">техническое обслуживание комплекса технических средств охраны на объектах по адресу: ЛО, г.Пикалево, ул.Школьная, д.6 (01.04.2021-31.12.2021 </t>
    </r>
    <r>
      <rPr>
        <b/>
        <sz val="11"/>
        <rFont val="Times New Roman"/>
        <family val="1"/>
      </rPr>
      <t>оплата 952,94 в меся</t>
    </r>
    <r>
      <rPr>
        <sz val="11"/>
        <rFont val="Times New Roman"/>
        <family val="1"/>
      </rPr>
      <t>ц)</t>
    </r>
  </si>
  <si>
    <t>Дог.№71 от 22.03.2021 ООО "КОМПАС"</t>
  </si>
  <si>
    <t>Ав отчет №67 от 24.03.2021 Кубасов А.И.</t>
  </si>
  <si>
    <r>
      <t xml:space="preserve">передача тревожных сигналов между т/с охраны и пультом по адресу: 187600, ЛО, Бокситогорский район, г.Пикалево, ул.Школьная, д.6 (01.04.2021-31.12.2021, </t>
    </r>
    <r>
      <rPr>
        <b/>
        <sz val="11"/>
        <rFont val="Times New Roman"/>
        <family val="1"/>
      </rPr>
      <t>оплата 500,00 в месяц</t>
    </r>
    <r>
      <rPr>
        <sz val="11"/>
        <rFont val="Times New Roman"/>
        <family val="1"/>
      </rPr>
      <t>)</t>
    </r>
  </si>
  <si>
    <t>Дог.№78701418 от 01.04.2021 ООО "Росохрана Телеком"</t>
  </si>
  <si>
    <t>подключение</t>
  </si>
  <si>
    <t>проведение гидропневматической промывки и гидравлических испытаний системы отопления в здании по адресу: 187683, Бокситогорский район, д.Анисимово, д.12</t>
  </si>
  <si>
    <t>Дог.№6Р от 05.04.2021 МАУ "ХЭС"</t>
  </si>
  <si>
    <t>обследование объекта по адресу:187600, ЛО, г.Пикалево, ул.Школьная, д.6</t>
  </si>
  <si>
    <t>Дог.№1/97 от 01.04.2021 ФГКУ "УВО ВНГ России по г.СПб и ЛО"</t>
  </si>
  <si>
    <t>Дог.№97 от 01.04.2021 ФГКУ "УВО ВНГ России по г.СПб и ЛО"</t>
  </si>
  <si>
    <r>
      <t xml:space="preserve">об экстренном вызове наряда вневедомственной охраны на объект МБОУ "СОШ №1" города Пикалево по адресу: 187600, ЛО, Бокситогорский р-н, г.Пикалево, ул.Школьная, д.6 (01.04.2021-31.12.2021, </t>
    </r>
    <r>
      <rPr>
        <b/>
        <sz val="11"/>
        <rFont val="Times New Roman"/>
        <family val="1"/>
      </rPr>
      <t>оплата 4 474,90 в месяц</t>
    </r>
    <r>
      <rPr>
        <sz val="11"/>
        <rFont val="Times New Roman"/>
        <family val="1"/>
      </rPr>
      <t>)</t>
    </r>
  </si>
  <si>
    <t>продукты питания (разные, в  т.ч. МЯСО 01.04.2021-30.06.2021 поставка, действует договор до 31.12.2021)</t>
  </si>
  <si>
    <t>Дог.№6 от 01.04.2021 ООО "ТД Марс"</t>
  </si>
  <si>
    <t>проведение гидропневматической промывки и гидравлических испытаний системы отопления в здании по адресу: 187600, г.Пикалево, ул.Школьная, д.6</t>
  </si>
  <si>
    <t>Дог.№4Р от 05.04.2021 МАУ "ХЭС"</t>
  </si>
  <si>
    <t>техническое обслуживание автотранспортного средства</t>
  </si>
  <si>
    <t>Дог.№539 от 07.04.2021 Ип Мухамеджанов М.Я.</t>
  </si>
  <si>
    <t>тосол</t>
  </si>
  <si>
    <t>Дог.№2 от 31.03.2021 ИП Федорова Л.Ф.</t>
  </si>
  <si>
    <t>охрана помещений (01.04.2021-30.06.2021)</t>
  </si>
  <si>
    <t>Дог.№02 от 01.04.2021 ООО "ТОПАЗ"</t>
  </si>
  <si>
    <t>приобретение меню-требование</t>
  </si>
  <si>
    <t>Дог.№86 от 14.04.2021 ИП Почетный А.Г.</t>
  </si>
  <si>
    <t>питание (сухпайки 01.04.2021-30.04.2021, оплата до 31.05.2021)</t>
  </si>
  <si>
    <t>Дог.№7 от 01.04.2021 ООО "ТД Марс"</t>
  </si>
  <si>
    <t>аттестаты</t>
  </si>
  <si>
    <t>Дог.№224330 от 12.04.2021 ОАО "Киржачская типография"</t>
  </si>
  <si>
    <t>изготовление и обслуживание сертификата ключа подписи ФИС ФРДО</t>
  </si>
  <si>
    <t>Дог.№705 от 13.04.2021 Общество с ограниченной ответственностью "Северо-Западный Удостоверяющий Центр"</t>
  </si>
  <si>
    <t>Дог.№5Р от 14.04.2021 МАУ "ХЭС"</t>
  </si>
  <si>
    <t>ДС №1 от 13.04.2021 о Расторжении</t>
  </si>
  <si>
    <t>ЛАГЕРЬ</t>
  </si>
  <si>
    <t>0707 52701S4410  (032 S4410 141 000 15)</t>
  </si>
  <si>
    <t>з/пл</t>
  </si>
  <si>
    <t>питание</t>
  </si>
  <si>
    <t>страхование</t>
  </si>
  <si>
    <t>хоз товар</t>
  </si>
  <si>
    <t>культ товар</t>
  </si>
  <si>
    <t>0707 52701S4410  (032 S4410 000 000 15)</t>
  </si>
  <si>
    <t>0707 5270110600  (032 10600 000 000 15)</t>
  </si>
  <si>
    <t>анализы воды</t>
  </si>
  <si>
    <t>анализы персонала</t>
  </si>
  <si>
    <t>аккар обр</t>
  </si>
  <si>
    <t>0707 5270110600  (032 10600 000 000 00)</t>
  </si>
  <si>
    <t>анализы на короновирус</t>
  </si>
  <si>
    <t>маски. Перчатки, дезор</t>
  </si>
  <si>
    <t>0702 52202S4890 (032.S4890.141.000.15)</t>
  </si>
  <si>
    <t>0702 52202S4890 (032.S4890.000.000.15)</t>
  </si>
  <si>
    <t>спортплощадка</t>
  </si>
  <si>
    <t>не  вкл</t>
  </si>
  <si>
    <t>0707 5220100160  (032 00000 500 000 00)</t>
  </si>
  <si>
    <t>приобретение значков</t>
  </si>
  <si>
    <t>Дог.№99 от 20.04.2021 ИП Почетный А.Г.</t>
  </si>
  <si>
    <t>оказание шиномонтажных услуг</t>
  </si>
  <si>
    <t>Дог.№12 от 21.04.2021 Ип Метёлкин С.И.</t>
  </si>
  <si>
    <t>Дог.№О00-127350/2021 от 05.04.2021 ФГБУ "ФИОКО"</t>
  </si>
  <si>
    <t>услуги дополнительного профессионального образования по организации и проведение обучения группы</t>
  </si>
  <si>
    <t>дополнительное профессиональное образование по организации и проведению обучения группы</t>
  </si>
  <si>
    <t>Дог.№О00-127366/2021 от 05.04.2021 ФГБУ "ФИОКО"</t>
  </si>
  <si>
    <t>Дог.№34026823 от 14.04.2021 ООО "Комус"</t>
  </si>
  <si>
    <t>канц товары</t>
  </si>
  <si>
    <t>канц.товаров</t>
  </si>
  <si>
    <t>Дог.№34032401 от 14.04.2021 ООО "Комус"</t>
  </si>
  <si>
    <t>МК №1 от 04.05.2021 ООО "РП ИНЖИНИРИНГ"</t>
  </si>
  <si>
    <t>ЭКОНОМИЯ от МФУ</t>
  </si>
  <si>
    <t>продукты</t>
  </si>
  <si>
    <t>для конкурсов</t>
  </si>
  <si>
    <t>АО №101 от 11.05.2021 Антошихина С.И.</t>
  </si>
  <si>
    <t>Дог.№159 от 12.05.2021 ООО "ГИППОКРАТ"</t>
  </si>
  <si>
    <t>Дог.№8 от 01.05.2021 ООО "ТД Марс"</t>
  </si>
  <si>
    <t>уборка (01.05.2021-30.06.2021)</t>
  </si>
  <si>
    <t>Дог.№35 от 01.05.2021 МАУ "ХЭС"</t>
  </si>
  <si>
    <t>МК №0145200000421000408 от 13.05.2021 ООО "Солитон"</t>
  </si>
  <si>
    <t>дополнительное профессиональное образование</t>
  </si>
  <si>
    <t>Дог.№О00-127355/2021 от 05.04.2021 ФГБУ "ФИОКО"</t>
  </si>
  <si>
    <t>ЭКОНОМИЯ от оборудования</t>
  </si>
  <si>
    <t>МК №0145200000421000440 от 17.05.2021 ООО ТД "Школьная Лига"</t>
  </si>
  <si>
    <t>печать грамот</t>
  </si>
  <si>
    <t xml:space="preserve">аукцион </t>
  </si>
  <si>
    <t>светильники в помещение столовой</t>
  </si>
  <si>
    <t>Объем закупаемой продукции на 2021 год</t>
  </si>
  <si>
    <t>приобретение карты тахографа</t>
  </si>
  <si>
    <t>Дог.№51 от 20.05.2021 ООО "Грузовик-СПб"</t>
  </si>
  <si>
    <t>исследования смывов, исследования воды и готовой продукции по адресу: 187643, ЛО, дер. анисимово, д.12</t>
  </si>
  <si>
    <t>Дог.№02/929/97 от 24.04.2021 ФБУЗ "ЦГиЭ ЛО"</t>
  </si>
  <si>
    <t>Дог.№57 от 31.05.2021 САО "РЕСО-Гарантия"</t>
  </si>
  <si>
    <t>питание (сухпайки 01.05.2021-31.05.2021, оплата до 30.06.2021)</t>
  </si>
  <si>
    <t>питание (сухпайки 01.06.2021-02.06.2021, оплата до 30.06.2021)</t>
  </si>
  <si>
    <t>Дог.№9 от 01.06.2021 ООО "ТД Марс"</t>
  </si>
  <si>
    <t>Дог.№58 от 31.05.2021 САО "РЕСО-Гарантия"</t>
  </si>
  <si>
    <t>дозаторы</t>
  </si>
  <si>
    <t>дизинфекция, дератизация</t>
  </si>
  <si>
    <t>Дог.№04/705/54 от 01.06.2021 ФБУЗ "ЦГиЭ ЛО"</t>
  </si>
  <si>
    <t>АО №000000117 от 02.06.2021 Антошихина С.И.</t>
  </si>
  <si>
    <t>Дог.№23Р от 01.06.2021 МАУ "ХЭС"</t>
  </si>
  <si>
    <t>ремонт помещений (срок выполнения работ 01.06.2021-18.06.2021. Оплата 15 р.д.)</t>
  </si>
  <si>
    <t>Дог.№02/1039/295 от 03.06.2021 ФБУЗ "ЦГиЭ ЛО"</t>
  </si>
  <si>
    <t>Дог.№34691444 от 01.06.2021 ООО "Комус"</t>
  </si>
  <si>
    <t>Дог.№02/765/204 от 01.06.2021 ФБУЗ "ЦГиЭ ЛО"</t>
  </si>
  <si>
    <t>сан-гиг обучение ( для лагеря)</t>
  </si>
  <si>
    <t>Лабораторные и инструментальные исследования для лагеря</t>
  </si>
  <si>
    <t>ДС №1 от 09.06.2021 (об умен на 63 477,00)</t>
  </si>
  <si>
    <t>ДС №1 о Расторжении от 10.06.2021</t>
  </si>
  <si>
    <t>Дог.№1 от 03.06.2021 ООО "ТД Марс"</t>
  </si>
  <si>
    <t>Дог.№2 от 03.06.2021 ООО "ТД Марс"</t>
  </si>
  <si>
    <t>Дог.№1 от 04.06.2021 ИП Бояринцев В.В.</t>
  </si>
  <si>
    <t>Дог.№2 от 03.06.2021 Французова Л.А.</t>
  </si>
  <si>
    <t>Дог.№3 от 03.06.2021 Горячева И.Е.</t>
  </si>
  <si>
    <t>учебная литература</t>
  </si>
  <si>
    <t>ремонт помещений (срок выполнения работ 25.06.2021-25.07.2021. Оплата 15 р.д.)</t>
  </si>
  <si>
    <t>Дог.№1 от 15.06.2021 ООО "УС"</t>
  </si>
  <si>
    <t>ремонт помещений (срок выполнения работ 20.06.2021-20.07.2021. Оплата 15 р.д.)</t>
  </si>
  <si>
    <t>Дог.№39/2021 от 18.06.2021 Ип Кондрашихин С.К.</t>
  </si>
  <si>
    <t>ремонт помещений (срок выполнения работ 20.06.2021-20.07.2021. Оплата 30 к.д.)</t>
  </si>
  <si>
    <t>Дог.№40/2021 от 15.06.2021 ИП Кондрашихин С.К.</t>
  </si>
  <si>
    <t>Дог.№39/2021 от 18.06.2021 ИП Кондрашихин С.К.</t>
  </si>
  <si>
    <t>использование программы СБИС</t>
  </si>
  <si>
    <t>Дог.№999035831 от 16.06.2021 ООО "Аракс"</t>
  </si>
  <si>
    <t>Дог.№34846623 от 10.06.2021 ООО "Комус"</t>
  </si>
  <si>
    <t>поставка учебной литературы</t>
  </si>
  <si>
    <t>Дог.№1 от 15.06.2021 ООО "Русское слово-учебник"</t>
  </si>
  <si>
    <t>ДС №1 от 17.06.2021 (изм сумм по ист фин)</t>
  </si>
  <si>
    <t>нет</t>
  </si>
  <si>
    <t>Дог.№2747/03-2021 от 23.06.2021 ООО "ПГЛЗ"</t>
  </si>
  <si>
    <t>уборка (01.07.2021-31.08.2021)</t>
  </si>
  <si>
    <t>Дог.№42 от 28.06.2021 МАУ "ХЭС"</t>
  </si>
  <si>
    <t>охрана помещений (01.07.2021-30.09.2021)</t>
  </si>
  <si>
    <t>Дог.№03 от 23.06.2021 ООО "ТОПАЗ"</t>
  </si>
  <si>
    <t>Дог.№2 от 16.06.2021 ООО "ИОЦ МНЕМОЗИНА"</t>
  </si>
  <si>
    <t>замена арматуры трубопровода (Анисимово)</t>
  </si>
  <si>
    <t>ремонт ВИС (Совхозный)</t>
  </si>
  <si>
    <t>замена оконных блоков</t>
  </si>
  <si>
    <t>установка водонагревателя</t>
  </si>
  <si>
    <t>ПСД</t>
  </si>
  <si>
    <t>Подключение вентиляции</t>
  </si>
  <si>
    <t>Дог.№3 от 03.03.2021 Парамонова Анна Васильевна</t>
  </si>
  <si>
    <t>экономия</t>
  </si>
  <si>
    <t>Контракт №0145300013121000089 от 02.07.2021 ООО "РУСМАФ"</t>
  </si>
  <si>
    <t>Замена оконных блоков (срок выполнения 45 к.д., оплата 15 р.д.)</t>
  </si>
  <si>
    <t>Авансовый отчет №119 от 05.07.21 Антошихина С.И.</t>
  </si>
  <si>
    <t xml:space="preserve">д №О00-127371/2021 от 05.04.21 ФГБУ "Федеральный институт оценки качества образования" </t>
  </si>
  <si>
    <t>обслуживание противопожарных дверей</t>
  </si>
  <si>
    <t>д №139/21-ПК от 01.07.2021 ООО "Гранд-сервис"</t>
  </si>
  <si>
    <t>проведение испытания внутреннего противопожарного водопровода</t>
  </si>
  <si>
    <t>д №38/21-ПК от 12.07.2021 ООО "Гранд-сервис"</t>
  </si>
  <si>
    <t>Вывоз мусора</t>
  </si>
  <si>
    <t>д №8 от 07.07.21 ООО "ПТК"</t>
  </si>
  <si>
    <t>д.№43/21-ПК от 14.07.21 ООО"Гранд-сервис"</t>
  </si>
  <si>
    <t>д.№242 от 16.07.21 ООО "Адвентер"</t>
  </si>
  <si>
    <t>=</t>
  </si>
  <si>
    <t>уч.мебель</t>
  </si>
  <si>
    <t>прочие обор.запасы</t>
  </si>
  <si>
    <t>д.№1 от 15.07.21 ИП Кондрашихин С.К.</t>
  </si>
  <si>
    <t>д.№254 от 16.07.21 ООО "Адвентер"</t>
  </si>
  <si>
    <t>д.№29Р от 12.07.21 МАУ"ХЭС"</t>
  </si>
  <si>
    <t>мебель</t>
  </si>
  <si>
    <t>д.№1/07 от 25.07.21 ИП Николаева Т.А.</t>
  </si>
  <si>
    <t>продукты питания (разные 29.07.2021-30.09.2021 поставка)</t>
  </si>
  <si>
    <t>д.№10 от 26.07.21 ОО"ТД Марс"</t>
  </si>
  <si>
    <t>д.№31Р от 21.07.21 МАУ"ХЭС"</t>
  </si>
  <si>
    <t>ремонт помешений</t>
  </si>
  <si>
    <t>СМП</t>
  </si>
  <si>
    <t>Закупки, планируемые к осуществлению у субъектов малого предпринимательства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</si>
</sst>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0.000"/>
    <numFmt numFmtId="191" formatCode="0.0"/>
    <numFmt numFmtId="192" formatCode="0.00000"/>
    <numFmt numFmtId="193" formatCode="0.0000"/>
    <numFmt numFmtId="194" formatCode="#,##0.000000000000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9">
    <font>
      <sz val="10"/>
      <name val="Arial"/>
      <family val="0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63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9" fillId="0" borderId="10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7" fillId="0" borderId="0" xfId="52" applyFill="1">
      <alignment/>
      <protection/>
    </xf>
    <xf numFmtId="0" fontId="7" fillId="0" borderId="0" xfId="52" applyFill="1" applyAlignment="1">
      <alignment wrapText="1"/>
      <protection/>
    </xf>
    <xf numFmtId="14" fontId="7" fillId="0" borderId="0" xfId="52" applyNumberFormat="1" applyFill="1" applyAlignment="1">
      <alignment wrapText="1"/>
      <protection/>
    </xf>
    <xf numFmtId="0" fontId="15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7" fillId="0" borderId="10" xfId="52" applyFill="1" applyBorder="1" applyAlignment="1">
      <alignment horizontal="center" wrapText="1"/>
      <protection/>
    </xf>
    <xf numFmtId="0" fontId="7" fillId="0" borderId="10" xfId="52" applyFill="1" applyBorder="1" applyAlignment="1">
      <alignment wrapText="1"/>
      <protection/>
    </xf>
    <xf numFmtId="4" fontId="6" fillId="0" borderId="10" xfId="52" applyNumberFormat="1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wrapText="1"/>
      <protection/>
    </xf>
    <xf numFmtId="4" fontId="18" fillId="0" borderId="10" xfId="52" applyNumberFormat="1" applyFont="1" applyFill="1" applyBorder="1" applyAlignment="1">
      <alignment wrapText="1"/>
      <protection/>
    </xf>
    <xf numFmtId="0" fontId="7" fillId="0" borderId="10" xfId="52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wrapText="1"/>
      <protection/>
    </xf>
    <xf numFmtId="4" fontId="7" fillId="0" borderId="10" xfId="52" applyNumberFormat="1" applyFill="1" applyBorder="1" applyAlignment="1">
      <alignment wrapText="1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center" wrapText="1"/>
      <protection/>
    </xf>
    <xf numFmtId="43" fontId="20" fillId="0" borderId="10" xfId="63" applyFont="1" applyFill="1" applyBorder="1" applyAlignment="1">
      <alignment/>
    </xf>
    <xf numFmtId="0" fontId="20" fillId="0" borderId="10" xfId="52" applyFont="1" applyFill="1" applyBorder="1">
      <alignment/>
      <protection/>
    </xf>
    <xf numFmtId="0" fontId="20" fillId="0" borderId="0" xfId="52" applyFont="1" applyFill="1">
      <alignment/>
      <protection/>
    </xf>
    <xf numFmtId="4" fontId="20" fillId="0" borderId="10" xfId="52" applyNumberFormat="1" applyFont="1" applyFill="1" applyBorder="1">
      <alignment/>
      <protection/>
    </xf>
    <xf numFmtId="4" fontId="7" fillId="0" borderId="0" xfId="52" applyNumberFormat="1" applyFont="1" applyFill="1" applyAlignment="1">
      <alignment wrapText="1"/>
      <protection/>
    </xf>
    <xf numFmtId="4" fontId="20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20" fillId="0" borderId="11" xfId="52" applyFont="1" applyFill="1" applyBorder="1">
      <alignment/>
      <protection/>
    </xf>
    <xf numFmtId="0" fontId="7" fillId="0" borderId="10" xfId="52" applyFill="1" applyBorder="1">
      <alignment/>
      <protection/>
    </xf>
    <xf numFmtId="4" fontId="6" fillId="0" borderId="10" xfId="52" applyNumberFormat="1" applyFont="1" applyFill="1" applyBorder="1" applyAlignment="1">
      <alignment horizontal="center"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3" fontId="7" fillId="0" borderId="10" xfId="52" applyNumberFormat="1" applyFont="1" applyFill="1" applyBorder="1" applyAlignment="1">
      <alignment horizontal="center" wrapText="1"/>
      <protection/>
    </xf>
    <xf numFmtId="43" fontId="7" fillId="0" borderId="10" xfId="63" applyFont="1" applyFill="1" applyBorder="1" applyAlignment="1">
      <alignment wrapText="1"/>
    </xf>
    <xf numFmtId="0" fontId="23" fillId="0" borderId="0" xfId="52" applyFont="1" applyFill="1" applyBorder="1" applyAlignment="1">
      <alignment/>
      <protection/>
    </xf>
    <xf numFmtId="0" fontId="22" fillId="0" borderId="0" xfId="52" applyFont="1" applyFill="1" applyBorder="1" applyAlignment="1">
      <alignment/>
      <protection/>
    </xf>
    <xf numFmtId="4" fontId="7" fillId="0" borderId="10" xfId="52" applyNumberForma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4" fontId="9" fillId="0" borderId="12" xfId="52" applyNumberFormat="1" applyFont="1" applyFill="1" applyBorder="1" applyAlignment="1">
      <alignment horizontal="right"/>
      <protection/>
    </xf>
    <xf numFmtId="4" fontId="9" fillId="0" borderId="10" xfId="52" applyNumberFormat="1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wrapText="1"/>
      <protection/>
    </xf>
    <xf numFmtId="0" fontId="24" fillId="0" borderId="10" xfId="52" applyFont="1" applyFill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horizontal="left" wrapText="1"/>
      <protection/>
    </xf>
    <xf numFmtId="4" fontId="7" fillId="0" borderId="11" xfId="52" applyNumberFormat="1" applyFill="1" applyBorder="1" applyAlignment="1">
      <alignment horizontal="center" wrapText="1"/>
      <protection/>
    </xf>
    <xf numFmtId="0" fontId="17" fillId="0" borderId="15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ill="1" applyBorder="1" applyAlignment="1">
      <alignment horizontal="center" wrapText="1"/>
      <protection/>
    </xf>
    <xf numFmtId="0" fontId="24" fillId="0" borderId="12" xfId="52" applyFont="1" applyFill="1" applyBorder="1" applyAlignment="1">
      <alignment horizontal="center" wrapText="1"/>
      <protection/>
    </xf>
    <xf numFmtId="0" fontId="7" fillId="0" borderId="16" xfId="52" applyFont="1" applyFill="1" applyBorder="1" applyAlignment="1">
      <alignment horizontal="center" wrapText="1"/>
      <protection/>
    </xf>
    <xf numFmtId="0" fontId="7" fillId="0" borderId="12" xfId="52" applyFill="1" applyBorder="1" applyAlignment="1">
      <alignment vertical="center" wrapText="1"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left" wrapText="1"/>
      <protection/>
    </xf>
    <xf numFmtId="0" fontId="9" fillId="0" borderId="16" xfId="52" applyFont="1" applyFill="1" applyBorder="1" applyAlignment="1">
      <alignment horizontal="left" wrapText="1"/>
      <protection/>
    </xf>
    <xf numFmtId="0" fontId="7" fillId="0" borderId="13" xfId="52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2" xfId="52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0" xfId="52" applyFill="1" applyBorder="1">
      <alignment/>
      <protection/>
    </xf>
    <xf numFmtId="0" fontId="7" fillId="0" borderId="15" xfId="52" applyFont="1" applyFill="1" applyBorder="1" applyAlignment="1">
      <alignment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wrapText="1"/>
      <protection/>
    </xf>
    <xf numFmtId="0" fontId="7" fillId="0" borderId="12" xfId="52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11" fillId="0" borderId="0" xfId="52" applyFont="1" applyFill="1">
      <alignment/>
      <protection/>
    </xf>
    <xf numFmtId="0" fontId="7" fillId="0" borderId="0" xfId="52" applyFill="1" applyAlignment="1">
      <alignment horizontal="center"/>
      <protection/>
    </xf>
    <xf numFmtId="0" fontId="7" fillId="0" borderId="0" xfId="52" applyFill="1" applyAlignment="1">
      <alignment horizontal="right"/>
      <protection/>
    </xf>
    <xf numFmtId="0" fontId="7" fillId="0" borderId="0" xfId="52" applyFill="1" applyAlignment="1">
      <alignment horizontal="center" vertical="center" wrapText="1"/>
      <protection/>
    </xf>
    <xf numFmtId="0" fontId="11" fillId="0" borderId="0" xfId="52" applyFont="1" applyFill="1" applyAlignment="1">
      <alignment wrapText="1"/>
      <protection/>
    </xf>
    <xf numFmtId="0" fontId="7" fillId="0" borderId="0" xfId="52" applyFill="1" applyAlignment="1">
      <alignment horizont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wrapText="1"/>
      <protection/>
    </xf>
    <xf numFmtId="4" fontId="7" fillId="0" borderId="10" xfId="52" applyNumberFormat="1" applyFill="1" applyBorder="1">
      <alignment/>
      <protection/>
    </xf>
    <xf numFmtId="0" fontId="7" fillId="0" borderId="10" xfId="52" applyFill="1" applyBorder="1" applyAlignment="1">
      <alignment horizontal="center" vertical="center" wrapText="1"/>
      <protection/>
    </xf>
    <xf numFmtId="0" fontId="7" fillId="0" borderId="10" xfId="52" applyFill="1" applyBorder="1" applyAlignment="1">
      <alignment vertical="center"/>
      <protection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7" fillId="0" borderId="10" xfId="52" applyFont="1" applyFill="1" applyBorder="1" applyAlignment="1">
      <alignment horizontal="center" vertical="center" wrapText="1"/>
      <protection/>
    </xf>
    <xf numFmtId="43" fontId="7" fillId="0" borderId="10" xfId="63" applyFont="1" applyFill="1" applyBorder="1" applyAlignment="1">
      <alignment horizontal="center" wrapText="1"/>
    </xf>
    <xf numFmtId="43" fontId="18" fillId="0" borderId="10" xfId="63" applyFont="1" applyFill="1" applyBorder="1" applyAlignment="1">
      <alignment wrapText="1"/>
    </xf>
    <xf numFmtId="2" fontId="18" fillId="0" borderId="10" xfId="52" applyNumberFormat="1" applyFont="1" applyFill="1" applyBorder="1" applyAlignment="1">
      <alignment wrapText="1"/>
      <protection/>
    </xf>
    <xf numFmtId="43" fontId="6" fillId="0" borderId="10" xfId="63" applyFont="1" applyFill="1" applyBorder="1" applyAlignment="1">
      <alignment wrapText="1"/>
    </xf>
    <xf numFmtId="0" fontId="6" fillId="0" borderId="10" xfId="52" applyFont="1" applyFill="1" applyBorder="1">
      <alignment/>
      <protection/>
    </xf>
    <xf numFmtId="0" fontId="6" fillId="0" borderId="12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vertical="center"/>
      <protection/>
    </xf>
    <xf numFmtId="43" fontId="7" fillId="0" borderId="10" xfId="63" applyFont="1" applyFill="1" applyBorder="1" applyAlignment="1">
      <alignment horizontal="center" vertical="center" wrapText="1"/>
    </xf>
    <xf numFmtId="4" fontId="8" fillId="0" borderId="12" xfId="52" applyNumberFormat="1" applyFont="1" applyFill="1" applyBorder="1" applyAlignment="1">
      <alignment horizontal="right" wrapText="1"/>
      <protection/>
    </xf>
    <xf numFmtId="4" fontId="9" fillId="0" borderId="10" xfId="52" applyNumberFormat="1" applyFont="1" applyFill="1" applyBorder="1" applyAlignment="1">
      <alignment horizontal="right" vertical="center"/>
      <protection/>
    </xf>
    <xf numFmtId="4" fontId="9" fillId="0" borderId="12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horizontal="left" vertical="center" wrapText="1"/>
      <protection/>
    </xf>
    <xf numFmtId="4" fontId="8" fillId="0" borderId="12" xfId="52" applyNumberFormat="1" applyFont="1" applyFill="1" applyBorder="1" applyAlignment="1">
      <alignment horizontal="right" vertical="center"/>
      <protection/>
    </xf>
    <xf numFmtId="4" fontId="6" fillId="0" borderId="10" xfId="52" applyNumberFormat="1" applyFont="1" applyFill="1" applyBorder="1" applyAlignment="1">
      <alignment horizontal="left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4" fontId="9" fillId="0" borderId="12" xfId="52" applyNumberFormat="1" applyFont="1" applyFill="1" applyBorder="1" applyAlignment="1">
      <alignment horizontal="right" wrapText="1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wrapText="1"/>
      <protection/>
    </xf>
    <xf numFmtId="0" fontId="8" fillId="0" borderId="12" xfId="52" applyFont="1" applyFill="1" applyBorder="1" applyAlignment="1">
      <alignment horizontal="left" wrapText="1"/>
      <protection/>
    </xf>
    <xf numFmtId="2" fontId="7" fillId="0" borderId="10" xfId="52" applyNumberForma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171" fontId="7" fillId="0" borderId="10" xfId="52" applyNumberForma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43" fontId="7" fillId="0" borderId="10" xfId="52" applyNumberFormat="1" applyFill="1" applyBorder="1" applyAlignment="1">
      <alignment horizontal="center" vertical="center" wrapText="1"/>
      <protection/>
    </xf>
    <xf numFmtId="43" fontId="6" fillId="0" borderId="10" xfId="63" applyFont="1" applyFill="1" applyBorder="1" applyAlignment="1">
      <alignment horizontal="center" wrapText="1"/>
    </xf>
    <xf numFmtId="0" fontId="6" fillId="0" borderId="10" xfId="52" applyFont="1" applyFill="1" applyBorder="1" applyAlignment="1">
      <alignment vertical="center"/>
      <protection/>
    </xf>
    <xf numFmtId="0" fontId="19" fillId="0" borderId="10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center" wrapText="1"/>
      <protection/>
    </xf>
    <xf numFmtId="43" fontId="11" fillId="0" borderId="10" xfId="63" applyFont="1" applyFill="1" applyBorder="1" applyAlignment="1">
      <alignment horizontal="center" wrapText="1"/>
    </xf>
    <xf numFmtId="0" fontId="11" fillId="0" borderId="10" xfId="52" applyFont="1" applyFill="1" applyBorder="1" applyAlignment="1">
      <alignment vertic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4" fontId="7" fillId="0" borderId="18" xfId="52" applyNumberFormat="1" applyFill="1" applyBorder="1" applyAlignment="1">
      <alignment horizontal="center" wrapText="1"/>
      <protection/>
    </xf>
    <xf numFmtId="0" fontId="2" fillId="0" borderId="18" xfId="52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2" fillId="0" borderId="10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left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left" wrapText="1"/>
      <protection/>
    </xf>
    <xf numFmtId="4" fontId="2" fillId="0" borderId="10" xfId="52" applyNumberFormat="1" applyFont="1" applyFill="1" applyBorder="1" applyAlignment="1">
      <alignment horizontal="center" wrapText="1"/>
      <protection/>
    </xf>
    <xf numFmtId="4" fontId="5" fillId="0" borderId="10" xfId="52" applyNumberFormat="1" applyFont="1" applyFill="1" applyBorder="1" applyAlignment="1">
      <alignment horizontal="center" wrapText="1"/>
      <protection/>
    </xf>
    <xf numFmtId="43" fontId="7" fillId="0" borderId="0" xfId="52" applyNumberFormat="1" applyFill="1">
      <alignment/>
      <protection/>
    </xf>
    <xf numFmtId="4" fontId="7" fillId="0" borderId="0" xfId="52" applyNumberFormat="1" applyFill="1">
      <alignment/>
      <protection/>
    </xf>
    <xf numFmtId="0" fontId="20" fillId="0" borderId="0" xfId="52" applyFont="1" applyFill="1" applyAlignment="1">
      <alignment horizontal="center"/>
      <protection/>
    </xf>
    <xf numFmtId="4" fontId="20" fillId="0" borderId="11" xfId="52" applyNumberFormat="1" applyFont="1" applyFill="1" applyBorder="1" applyAlignment="1">
      <alignment wrapText="1"/>
      <protection/>
    </xf>
    <xf numFmtId="49" fontId="7" fillId="0" borderId="0" xfId="52" applyNumberFormat="1" applyFill="1" applyBorder="1" applyAlignment="1">
      <alignment horizontal="center" vertical="center" wrapText="1"/>
      <protection/>
    </xf>
    <xf numFmtId="0" fontId="21" fillId="0" borderId="0" xfId="52" applyFont="1" applyFill="1">
      <alignment/>
      <protection/>
    </xf>
    <xf numFmtId="49" fontId="22" fillId="0" borderId="0" xfId="52" applyNumberFormat="1" applyFont="1" applyFill="1">
      <alignment/>
      <protection/>
    </xf>
    <xf numFmtId="0" fontId="20" fillId="0" borderId="0" xfId="52" applyFont="1" applyFill="1" applyBorder="1" applyAlignment="1">
      <alignment wrapText="1"/>
      <protection/>
    </xf>
    <xf numFmtId="9" fontId="21" fillId="0" borderId="0" xfId="52" applyNumberFormat="1" applyFont="1" applyFill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7" fillId="0" borderId="0" xfId="52" applyFill="1" applyBorder="1" applyAlignment="1">
      <alignment horizontal="center" vertical="center" wrapText="1"/>
      <protection/>
    </xf>
    <xf numFmtId="0" fontId="22" fillId="0" borderId="0" xfId="52" applyFont="1" applyFill="1">
      <alignment/>
      <protection/>
    </xf>
    <xf numFmtId="0" fontId="22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49" fontId="21" fillId="0" borderId="0" xfId="52" applyNumberFormat="1" applyFont="1" applyFill="1">
      <alignment/>
      <protection/>
    </xf>
    <xf numFmtId="0" fontId="9" fillId="0" borderId="17" xfId="52" applyFont="1" applyFill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9" fillId="0" borderId="19" xfId="52" applyFont="1" applyFill="1" applyBorder="1" applyAlignment="1">
      <alignment/>
      <protection/>
    </xf>
    <xf numFmtId="0" fontId="9" fillId="0" borderId="12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vertical="center" wrapText="1"/>
      <protection/>
    </xf>
    <xf numFmtId="0" fontId="5" fillId="0" borderId="10" xfId="52" applyFont="1" applyFill="1" applyBorder="1">
      <alignment/>
      <protection/>
    </xf>
    <xf numFmtId="49" fontId="3" fillId="0" borderId="10" xfId="52" applyNumberFormat="1" applyFont="1" applyFill="1" applyBorder="1">
      <alignment/>
      <protection/>
    </xf>
    <xf numFmtId="2" fontId="20" fillId="0" borderId="10" xfId="52" applyNumberFormat="1" applyFont="1" applyFill="1" applyBorder="1" applyAlignment="1">
      <alignment horizontal="center"/>
      <protection/>
    </xf>
    <xf numFmtId="2" fontId="20" fillId="0" borderId="10" xfId="52" applyNumberFormat="1" applyFont="1" applyFill="1" applyBorder="1" applyAlignment="1">
      <alignment/>
      <protection/>
    </xf>
    <xf numFmtId="0" fontId="10" fillId="0" borderId="0" xfId="52" applyFont="1" applyFill="1" applyAlignment="1">
      <alignment horizontal="center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wrapText="1"/>
      <protection/>
    </xf>
    <xf numFmtId="0" fontId="7" fillId="0" borderId="18" xfId="52" applyFill="1" applyBorder="1" applyAlignment="1">
      <alignment horizontal="center" vertical="center" wrapText="1"/>
      <protection/>
    </xf>
    <xf numFmtId="0" fontId="7" fillId="0" borderId="11" xfId="52" applyFill="1" applyBorder="1" applyAlignment="1">
      <alignment horizontal="center" vertical="center" wrapText="1"/>
      <protection/>
    </xf>
    <xf numFmtId="2" fontId="7" fillId="0" borderId="18" xfId="52" applyNumberFormat="1" applyFill="1" applyBorder="1" applyAlignment="1">
      <alignment horizontal="center" vertical="center" wrapText="1"/>
      <protection/>
    </xf>
    <xf numFmtId="2" fontId="7" fillId="0" borderId="11" xfId="52" applyNumberFormat="1" applyFill="1" applyBorder="1" applyAlignment="1">
      <alignment horizontal="center" vertical="center" wrapText="1"/>
      <protection/>
    </xf>
    <xf numFmtId="0" fontId="7" fillId="0" borderId="15" xfId="52" applyFill="1" applyBorder="1" applyAlignment="1">
      <alignment horizontal="center" vertical="center" wrapText="1"/>
      <protection/>
    </xf>
    <xf numFmtId="43" fontId="7" fillId="0" borderId="18" xfId="52" applyNumberFormat="1" applyFont="1" applyFill="1" applyBorder="1" applyAlignment="1">
      <alignment horizontal="center" vertical="center" wrapText="1"/>
      <protection/>
    </xf>
    <xf numFmtId="43" fontId="7" fillId="0" borderId="15" xfId="52" applyNumberFormat="1" applyFont="1" applyFill="1" applyBorder="1" applyAlignment="1">
      <alignment horizontal="center" vertical="center" wrapText="1"/>
      <protection/>
    </xf>
    <xf numFmtId="43" fontId="7" fillId="0" borderId="11" xfId="52" applyNumberFormat="1" applyFont="1" applyFill="1" applyBorder="1" applyAlignment="1">
      <alignment horizontal="center" vertical="center" wrapText="1"/>
      <protection/>
    </xf>
    <xf numFmtId="4" fontId="7" fillId="0" borderId="18" xfId="52" applyNumberFormat="1" applyFill="1" applyBorder="1" applyAlignment="1">
      <alignment horizontal="center" vertical="center" wrapText="1"/>
      <protection/>
    </xf>
    <xf numFmtId="4" fontId="7" fillId="0" borderId="15" xfId="52" applyNumberFormat="1" applyFill="1" applyBorder="1" applyAlignment="1">
      <alignment horizontal="center" vertical="center" wrapText="1"/>
      <protection/>
    </xf>
    <xf numFmtId="4" fontId="7" fillId="0" borderId="11" xfId="52" applyNumberFormat="1" applyFill="1" applyBorder="1" applyAlignment="1">
      <alignment horizontal="center" vertical="center" wrapText="1"/>
      <protection/>
    </xf>
    <xf numFmtId="0" fontId="7" fillId="0" borderId="18" xfId="52" applyFill="1" applyBorder="1" applyAlignment="1">
      <alignment horizontal="center" vertical="center"/>
      <protection/>
    </xf>
    <xf numFmtId="0" fontId="7" fillId="0" borderId="11" xfId="52" applyFill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3" xfId="52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wrapText="1"/>
      <protection/>
    </xf>
    <xf numFmtId="0" fontId="9" fillId="0" borderId="13" xfId="52" applyFont="1" applyFill="1" applyBorder="1" applyAlignment="1">
      <alignment horizont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4" fontId="7" fillId="0" borderId="18" xfId="52" applyNumberFormat="1" applyFill="1" applyBorder="1" applyAlignment="1">
      <alignment horizontal="center" wrapText="1"/>
      <protection/>
    </xf>
    <xf numFmtId="4" fontId="7" fillId="0" borderId="15" xfId="52" applyNumberFormat="1" applyFill="1" applyBorder="1" applyAlignment="1">
      <alignment horizontal="center" wrapText="1"/>
      <protection/>
    </xf>
    <xf numFmtId="4" fontId="7" fillId="0" borderId="11" xfId="52" applyNumberFormat="1" applyFill="1" applyBorder="1" applyAlignment="1">
      <alignment horizont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left" vertical="center"/>
      <protection/>
    </xf>
    <xf numFmtId="4" fontId="7" fillId="0" borderId="11" xfId="52" applyNumberFormat="1" applyFont="1" applyFill="1" applyBorder="1" applyAlignment="1">
      <alignment horizontal="left" vertical="center"/>
      <protection/>
    </xf>
    <xf numFmtId="0" fontId="9" fillId="0" borderId="18" xfId="52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2" fillId="0" borderId="18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4" fontId="7" fillId="0" borderId="18" xfId="52" applyNumberFormat="1" applyFont="1" applyFill="1" applyBorder="1" applyAlignment="1">
      <alignment horizont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center" vertical="center"/>
      <protection/>
    </xf>
    <xf numFmtId="4" fontId="7" fillId="0" borderId="15" xfId="52" applyNumberFormat="1" applyFont="1" applyFill="1" applyBorder="1" applyAlignment="1">
      <alignment horizontal="center" vertical="center"/>
      <protection/>
    </xf>
    <xf numFmtId="4" fontId="7" fillId="0" borderId="11" xfId="52" applyNumberFormat="1" applyFont="1" applyFill="1" applyBorder="1" applyAlignment="1">
      <alignment horizontal="center" vertical="center"/>
      <protection/>
    </xf>
    <xf numFmtId="0" fontId="7" fillId="0" borderId="15" xfId="52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wrapText="1"/>
      <protection/>
    </xf>
    <xf numFmtId="0" fontId="3" fillId="0" borderId="20" xfId="52" applyFont="1" applyFill="1" applyBorder="1" applyAlignment="1">
      <alignment horizontal="left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43" fontId="20" fillId="0" borderId="18" xfId="52" applyNumberFormat="1" applyFont="1" applyFill="1" applyBorder="1" applyAlignment="1">
      <alignment horizontal="center"/>
      <protection/>
    </xf>
    <xf numFmtId="43" fontId="20" fillId="0" borderId="15" xfId="52" applyNumberFormat="1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0" fontId="24" fillId="0" borderId="18" xfId="52" applyFont="1" applyFill="1" applyBorder="1" applyAlignment="1">
      <alignment horizontal="center" wrapText="1"/>
      <protection/>
    </xf>
    <xf numFmtId="0" fontId="24" fillId="0" borderId="11" xfId="52" applyFont="1" applyFill="1" applyBorder="1" applyAlignment="1">
      <alignment horizontal="center" wrapText="1"/>
      <protection/>
    </xf>
    <xf numFmtId="0" fontId="7" fillId="0" borderId="17" xfId="52" applyFill="1" applyBorder="1" applyAlignment="1">
      <alignment horizontal="center" vertical="center" wrapText="1"/>
      <protection/>
    </xf>
    <xf numFmtId="0" fontId="17" fillId="0" borderId="18" xfId="52" applyFont="1" applyFill="1" applyBorder="1" applyAlignment="1">
      <alignment horizontal="center" wrapText="1"/>
      <protection/>
    </xf>
    <xf numFmtId="0" fontId="17" fillId="0" borderId="11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7" fillId="0" borderId="15" xfId="52" applyFont="1" applyFill="1" applyBorder="1" applyAlignment="1">
      <alignment horizont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Alignment="1">
      <alignment horizontal="center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/>
      <protection/>
    </xf>
    <xf numFmtId="0" fontId="14" fillId="0" borderId="12" xfId="52" applyFont="1" applyFill="1" applyBorder="1" applyAlignment="1">
      <alignment horizontal="center"/>
      <protection/>
    </xf>
    <xf numFmtId="0" fontId="6" fillId="0" borderId="16" xfId="52" applyFont="1" applyFill="1" applyBorder="1" applyAlignment="1">
      <alignment horizontal="center" wrapText="1"/>
      <protection/>
    </xf>
    <xf numFmtId="0" fontId="6" fillId="0" borderId="13" xfId="52" applyFont="1" applyFill="1" applyBorder="1" applyAlignment="1">
      <alignment horizontal="center" wrapText="1"/>
      <protection/>
    </xf>
    <xf numFmtId="0" fontId="6" fillId="0" borderId="18" xfId="52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center" wrapText="1"/>
      <protection/>
    </xf>
    <xf numFmtId="0" fontId="9" fillId="0" borderId="18" xfId="52" applyFont="1" applyFill="1" applyBorder="1" applyAlignment="1">
      <alignment horizontal="center" wrapText="1"/>
      <protection/>
    </xf>
    <xf numFmtId="0" fontId="9" fillId="0" borderId="15" xfId="52" applyFont="1" applyFill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center" wrapText="1"/>
      <protection/>
    </xf>
    <xf numFmtId="0" fontId="7" fillId="0" borderId="18" xfId="52" applyFill="1" applyBorder="1" applyAlignment="1">
      <alignment horizontal="left" wrapText="1"/>
      <protection/>
    </xf>
    <xf numFmtId="0" fontId="7" fillId="0" borderId="11" xfId="52" applyFill="1" applyBorder="1" applyAlignment="1">
      <alignment horizontal="left" wrapText="1"/>
      <protection/>
    </xf>
    <xf numFmtId="0" fontId="8" fillId="0" borderId="12" xfId="52" applyFont="1" applyFill="1" applyBorder="1" applyAlignment="1">
      <alignment horizontal="center" wrapText="1"/>
      <protection/>
    </xf>
    <xf numFmtId="0" fontId="8" fillId="0" borderId="20" xfId="52" applyFont="1" applyFill="1" applyBorder="1" applyAlignment="1">
      <alignment horizontal="center" wrapText="1"/>
      <protection/>
    </xf>
    <xf numFmtId="0" fontId="8" fillId="0" borderId="14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9"/>
  <sheetViews>
    <sheetView tabSelected="1" zoomScale="80" zoomScaleNormal="80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8.57421875" style="5" customWidth="1"/>
    <col min="2" max="2" width="25.421875" style="5" customWidth="1"/>
    <col min="3" max="3" width="10.8515625" style="5" hidden="1" customWidth="1"/>
    <col min="4" max="4" width="20.7109375" style="80" customWidth="1"/>
    <col min="5" max="5" width="16.7109375" style="5" customWidth="1"/>
    <col min="6" max="6" width="20.140625" style="5" customWidth="1"/>
    <col min="7" max="7" width="19.8515625" style="5" customWidth="1"/>
    <col min="8" max="8" width="29.28125" style="6" customWidth="1"/>
    <col min="9" max="9" width="22.57421875" style="82" customWidth="1"/>
    <col min="10" max="10" width="25.7109375" style="5" customWidth="1"/>
    <col min="11" max="11" width="15.57421875" style="5" customWidth="1"/>
    <col min="12" max="12" width="9.140625" style="5" customWidth="1"/>
    <col min="13" max="13" width="11.7109375" style="5" bestFit="1" customWidth="1"/>
    <col min="14" max="16384" width="9.140625" style="5" customWidth="1"/>
  </cols>
  <sheetData>
    <row r="1" spans="1:5" ht="15.75">
      <c r="A1" s="79"/>
      <c r="B1" s="79"/>
      <c r="C1" s="79"/>
      <c r="E1" s="81"/>
    </row>
    <row r="2" spans="1:9" ht="18">
      <c r="A2" s="234" t="s">
        <v>39</v>
      </c>
      <c r="B2" s="234"/>
      <c r="C2" s="234"/>
      <c r="D2" s="234"/>
      <c r="E2" s="234"/>
      <c r="F2" s="234"/>
      <c r="G2" s="234"/>
      <c r="H2" s="234"/>
      <c r="I2" s="234"/>
    </row>
    <row r="3" spans="1:8" ht="15.75">
      <c r="A3" s="83"/>
      <c r="B3" s="83"/>
      <c r="C3" s="83"/>
      <c r="D3" s="84"/>
      <c r="E3" s="6"/>
      <c r="G3" s="5" t="s">
        <v>0</v>
      </c>
      <c r="H3" s="7"/>
    </row>
    <row r="4" spans="1:9" ht="16.5" customHeight="1">
      <c r="A4" s="166" t="s">
        <v>294</v>
      </c>
      <c r="B4" s="166"/>
      <c r="C4" s="166"/>
      <c r="D4" s="166"/>
      <c r="E4" s="166"/>
      <c r="F4" s="166"/>
      <c r="G4" s="166"/>
      <c r="H4" s="166"/>
      <c r="I4" s="166"/>
    </row>
    <row r="5" spans="1:5" ht="12.75">
      <c r="A5" s="6"/>
      <c r="B5" s="6"/>
      <c r="C5" s="6"/>
      <c r="D5" s="84"/>
      <c r="E5" s="6"/>
    </row>
    <row r="6" spans="1:9" ht="33.75" customHeight="1">
      <c r="A6" s="251" t="s">
        <v>35</v>
      </c>
      <c r="B6" s="251" t="s">
        <v>36</v>
      </c>
      <c r="C6" s="252" t="s">
        <v>40</v>
      </c>
      <c r="D6" s="254" t="s">
        <v>41</v>
      </c>
      <c r="E6" s="85" t="s">
        <v>37</v>
      </c>
      <c r="F6" s="235" t="s">
        <v>1</v>
      </c>
      <c r="G6" s="238" t="s">
        <v>2</v>
      </c>
      <c r="H6" s="239"/>
      <c r="I6" s="248" t="s">
        <v>376</v>
      </c>
    </row>
    <row r="7" spans="1:9" ht="22.5" customHeight="1">
      <c r="A7" s="251"/>
      <c r="B7" s="251"/>
      <c r="C7" s="253"/>
      <c r="D7" s="254"/>
      <c r="E7" s="85" t="s">
        <v>3</v>
      </c>
      <c r="F7" s="236"/>
      <c r="G7" s="242" t="s">
        <v>42</v>
      </c>
      <c r="H7" s="240" t="s">
        <v>4</v>
      </c>
      <c r="I7" s="249"/>
    </row>
    <row r="8" spans="1:9" ht="27" customHeight="1">
      <c r="A8" s="86" t="s">
        <v>5</v>
      </c>
      <c r="B8" s="11"/>
      <c r="C8" s="11"/>
      <c r="D8" s="10"/>
      <c r="E8" s="12">
        <f>SUM(E10:E298)</f>
        <v>41684143.06000001</v>
      </c>
      <c r="F8" s="237"/>
      <c r="G8" s="243"/>
      <c r="H8" s="241"/>
      <c r="I8" s="250"/>
    </row>
    <row r="9" spans="1:9" ht="25.5">
      <c r="A9" s="13" t="s">
        <v>6</v>
      </c>
      <c r="B9" s="12"/>
      <c r="C9" s="13"/>
      <c r="D9" s="13"/>
      <c r="E9" s="13"/>
      <c r="F9" s="87"/>
      <c r="G9" s="30"/>
      <c r="H9" s="57"/>
      <c r="I9" s="88"/>
    </row>
    <row r="10" spans="1:9" ht="30" customHeight="1">
      <c r="A10" s="15" t="s">
        <v>7</v>
      </c>
      <c r="B10" s="15"/>
      <c r="C10" s="9">
        <v>244</v>
      </c>
      <c r="D10" s="9">
        <v>221</v>
      </c>
      <c r="E10" s="34">
        <f>55900-1437-10634.72</f>
        <v>43828.28</v>
      </c>
      <c r="F10" s="89" t="s">
        <v>74</v>
      </c>
      <c r="G10" s="8"/>
      <c r="H10" s="56" t="s">
        <v>144</v>
      </c>
      <c r="I10" s="88"/>
    </row>
    <row r="11" spans="1:9" ht="37.5" customHeight="1">
      <c r="A11" s="15" t="s">
        <v>126</v>
      </c>
      <c r="B11" s="15"/>
      <c r="C11" s="9"/>
      <c r="D11" s="9">
        <v>221</v>
      </c>
      <c r="E11" s="34">
        <v>10634.72</v>
      </c>
      <c r="F11" s="89" t="s">
        <v>74</v>
      </c>
      <c r="G11" s="8"/>
      <c r="H11" s="56" t="s">
        <v>127</v>
      </c>
      <c r="I11" s="88"/>
    </row>
    <row r="12" spans="1:9" ht="25.5">
      <c r="A12" s="15" t="s">
        <v>122</v>
      </c>
      <c r="B12" s="15"/>
      <c r="C12" s="9"/>
      <c r="D12" s="9">
        <v>221</v>
      </c>
      <c r="E12" s="34">
        <v>1437</v>
      </c>
      <c r="F12" s="89" t="s">
        <v>74</v>
      </c>
      <c r="G12" s="8"/>
      <c r="H12" s="56" t="s">
        <v>123</v>
      </c>
      <c r="I12" s="88"/>
    </row>
    <row r="13" spans="1:9" ht="25.5">
      <c r="A13" s="15" t="s">
        <v>8</v>
      </c>
      <c r="B13" s="15"/>
      <c r="C13" s="9"/>
      <c r="D13" s="9">
        <v>226</v>
      </c>
      <c r="E13" s="34">
        <f>239400-4464-4000-7440+39144</f>
        <v>262640</v>
      </c>
      <c r="F13" s="89" t="s">
        <v>73</v>
      </c>
      <c r="G13" s="8"/>
      <c r="H13" s="56" t="s">
        <v>282</v>
      </c>
      <c r="I13" s="88" t="s">
        <v>375</v>
      </c>
    </row>
    <row r="14" spans="1:9" ht="33" customHeight="1">
      <c r="A14" s="15" t="s">
        <v>149</v>
      </c>
      <c r="B14" s="15"/>
      <c r="C14" s="9"/>
      <c r="D14" s="9">
        <v>226</v>
      </c>
      <c r="E14" s="34">
        <v>4464</v>
      </c>
      <c r="F14" s="89" t="s">
        <v>73</v>
      </c>
      <c r="G14" s="8"/>
      <c r="H14" s="56" t="s">
        <v>150</v>
      </c>
      <c r="I14" s="88"/>
    </row>
    <row r="15" spans="1:9" ht="12.75">
      <c r="A15" s="15" t="s">
        <v>9</v>
      </c>
      <c r="B15" s="15"/>
      <c r="C15" s="9"/>
      <c r="D15" s="9">
        <v>226</v>
      </c>
      <c r="E15" s="34">
        <f>3900-2200-600</f>
        <v>1100</v>
      </c>
      <c r="F15" s="89" t="s">
        <v>74</v>
      </c>
      <c r="G15" s="8"/>
      <c r="H15" s="57"/>
      <c r="I15" s="88"/>
    </row>
    <row r="16" spans="1:9" ht="25.5">
      <c r="A16" s="15" t="s">
        <v>9</v>
      </c>
      <c r="B16" s="15"/>
      <c r="C16" s="9"/>
      <c r="D16" s="9">
        <v>226</v>
      </c>
      <c r="E16" s="34">
        <v>600</v>
      </c>
      <c r="F16" s="89" t="s">
        <v>74</v>
      </c>
      <c r="G16" s="8"/>
      <c r="H16" s="56" t="s">
        <v>310</v>
      </c>
      <c r="I16" s="88"/>
    </row>
    <row r="17" spans="1:9" ht="33" customHeight="1">
      <c r="A17" s="15" t="s">
        <v>313</v>
      </c>
      <c r="B17" s="15"/>
      <c r="C17" s="9"/>
      <c r="D17" s="9">
        <v>226</v>
      </c>
      <c r="E17" s="34">
        <f>131000-90000-1686-39144+3318</f>
        <v>3488</v>
      </c>
      <c r="F17" s="89" t="s">
        <v>73</v>
      </c>
      <c r="G17" s="8"/>
      <c r="H17" s="66" t="s">
        <v>312</v>
      </c>
      <c r="I17" s="88"/>
    </row>
    <row r="18" spans="1:9" ht="22.5" customHeight="1">
      <c r="A18" s="15" t="s">
        <v>153</v>
      </c>
      <c r="B18" s="15"/>
      <c r="C18" s="9"/>
      <c r="D18" s="9">
        <v>226</v>
      </c>
      <c r="E18" s="34">
        <f>7440-7440</f>
        <v>0</v>
      </c>
      <c r="F18" s="89" t="s">
        <v>91</v>
      </c>
      <c r="G18" s="8"/>
      <c r="H18" s="57"/>
      <c r="I18" s="88"/>
    </row>
    <row r="19" spans="1:9" ht="31.5" customHeight="1">
      <c r="A19" s="15" t="s">
        <v>153</v>
      </c>
      <c r="B19" s="15"/>
      <c r="C19" s="9"/>
      <c r="D19" s="9">
        <v>226</v>
      </c>
      <c r="E19" s="34">
        <v>90000</v>
      </c>
      <c r="F19" s="89" t="s">
        <v>73</v>
      </c>
      <c r="G19" s="8"/>
      <c r="H19" s="58" t="s">
        <v>154</v>
      </c>
      <c r="I19" s="88"/>
    </row>
    <row r="20" spans="1:9" ht="67.5" customHeight="1">
      <c r="A20" s="15" t="s">
        <v>241</v>
      </c>
      <c r="B20" s="15"/>
      <c r="C20" s="9"/>
      <c r="D20" s="9">
        <v>226</v>
      </c>
      <c r="E20" s="34">
        <v>4000</v>
      </c>
      <c r="F20" s="89" t="s">
        <v>73</v>
      </c>
      <c r="G20" s="8"/>
      <c r="H20" s="58" t="s">
        <v>242</v>
      </c>
      <c r="I20" s="88" t="s">
        <v>375</v>
      </c>
    </row>
    <row r="21" spans="1:9" ht="52.5" customHeight="1">
      <c r="A21" s="15" t="s">
        <v>155</v>
      </c>
      <c r="B21" s="15"/>
      <c r="C21" s="9"/>
      <c r="D21" s="9">
        <v>226</v>
      </c>
      <c r="E21" s="34">
        <f>5000+2200</f>
        <v>7200</v>
      </c>
      <c r="F21" s="89" t="s">
        <v>74</v>
      </c>
      <c r="G21" s="8"/>
      <c r="H21" s="56" t="s">
        <v>156</v>
      </c>
      <c r="I21" s="88" t="s">
        <v>375</v>
      </c>
    </row>
    <row r="22" spans="1:9" ht="35.25" customHeight="1">
      <c r="A22" s="15" t="s">
        <v>142</v>
      </c>
      <c r="B22" s="15"/>
      <c r="C22" s="9"/>
      <c r="D22" s="9">
        <v>226</v>
      </c>
      <c r="E22" s="34">
        <f>65000-3260</f>
        <v>61740</v>
      </c>
      <c r="F22" s="89" t="s">
        <v>74</v>
      </c>
      <c r="G22" s="8"/>
      <c r="H22" s="56" t="s">
        <v>143</v>
      </c>
      <c r="I22" s="88" t="s">
        <v>375</v>
      </c>
    </row>
    <row r="23" spans="1:9" ht="30.75" customHeight="1">
      <c r="A23" s="90" t="s">
        <v>330</v>
      </c>
      <c r="B23" s="15"/>
      <c r="C23" s="9"/>
      <c r="D23" s="9">
        <v>226</v>
      </c>
      <c r="E23" s="34">
        <f>8000-3318-1860+2178</f>
        <v>5000</v>
      </c>
      <c r="F23" s="89" t="s">
        <v>74</v>
      </c>
      <c r="G23" s="8"/>
      <c r="H23" s="56" t="s">
        <v>331</v>
      </c>
      <c r="I23" s="88" t="s">
        <v>375</v>
      </c>
    </row>
    <row r="24" spans="1:9" ht="40.5" customHeight="1">
      <c r="A24" s="90" t="s">
        <v>10</v>
      </c>
      <c r="B24" s="52" t="s">
        <v>165</v>
      </c>
      <c r="C24" s="9"/>
      <c r="D24" s="9">
        <v>226</v>
      </c>
      <c r="E24" s="34">
        <v>1860</v>
      </c>
      <c r="F24" s="89" t="s">
        <v>74</v>
      </c>
      <c r="G24" s="8"/>
      <c r="H24" s="56" t="s">
        <v>354</v>
      </c>
      <c r="I24" s="88"/>
    </row>
    <row r="25" spans="1:9" ht="30.75" customHeight="1">
      <c r="A25" s="90" t="s">
        <v>10</v>
      </c>
      <c r="B25" s="15"/>
      <c r="C25" s="9"/>
      <c r="D25" s="9">
        <v>226</v>
      </c>
      <c r="E25" s="34">
        <f>3318-3318</f>
        <v>0</v>
      </c>
      <c r="F25" s="89" t="s">
        <v>73</v>
      </c>
      <c r="G25" s="8"/>
      <c r="H25" s="56"/>
      <c r="I25" s="88"/>
    </row>
    <row r="26" spans="1:9" ht="30.75" customHeight="1">
      <c r="A26" s="90" t="s">
        <v>210</v>
      </c>
      <c r="B26" s="15"/>
      <c r="C26" s="9"/>
      <c r="D26" s="9">
        <v>226</v>
      </c>
      <c r="E26" s="34">
        <v>7000</v>
      </c>
      <c r="F26" s="89" t="s">
        <v>74</v>
      </c>
      <c r="G26" s="8"/>
      <c r="H26" s="56" t="s">
        <v>211</v>
      </c>
      <c r="I26" s="88"/>
    </row>
    <row r="27" spans="1:9" ht="30.75" customHeight="1">
      <c r="A27" s="90" t="s">
        <v>11</v>
      </c>
      <c r="B27" s="15"/>
      <c r="C27" s="9"/>
      <c r="D27" s="9">
        <v>226</v>
      </c>
      <c r="E27" s="34">
        <f>20000+3260-7000-2178</f>
        <v>14082</v>
      </c>
      <c r="F27" s="89" t="s">
        <v>74</v>
      </c>
      <c r="G27" s="8"/>
      <c r="H27" s="56"/>
      <c r="I27" s="88"/>
    </row>
    <row r="28" spans="1:9" ht="30.75" customHeight="1">
      <c r="A28" s="90" t="s">
        <v>287</v>
      </c>
      <c r="B28" s="52" t="s">
        <v>165</v>
      </c>
      <c r="C28" s="9"/>
      <c r="D28" s="9">
        <v>226</v>
      </c>
      <c r="E28" s="34">
        <f>7440-3720-1860</f>
        <v>1860</v>
      </c>
      <c r="F28" s="89" t="s">
        <v>74</v>
      </c>
      <c r="G28" s="8"/>
      <c r="H28" s="56" t="s">
        <v>288</v>
      </c>
      <c r="I28" s="88"/>
    </row>
    <row r="29" spans="1:9" ht="30.75" customHeight="1">
      <c r="A29" s="91" t="s">
        <v>271</v>
      </c>
      <c r="B29" s="52" t="s">
        <v>165</v>
      </c>
      <c r="C29" s="9"/>
      <c r="D29" s="9">
        <v>226</v>
      </c>
      <c r="E29" s="34">
        <v>1860</v>
      </c>
      <c r="F29" s="89" t="s">
        <v>74</v>
      </c>
      <c r="G29" s="8"/>
      <c r="H29" s="56" t="s">
        <v>272</v>
      </c>
      <c r="I29" s="88"/>
    </row>
    <row r="30" spans="1:9" ht="30.75" customHeight="1">
      <c r="A30" s="91" t="s">
        <v>270</v>
      </c>
      <c r="B30" s="52" t="s">
        <v>165</v>
      </c>
      <c r="C30" s="9"/>
      <c r="D30" s="9">
        <v>226</v>
      </c>
      <c r="E30" s="34">
        <v>3720</v>
      </c>
      <c r="F30" s="89" t="s">
        <v>74</v>
      </c>
      <c r="G30" s="8"/>
      <c r="H30" s="56" t="s">
        <v>269</v>
      </c>
      <c r="I30" s="88"/>
    </row>
    <row r="31" spans="1:9" ht="30.75" customHeight="1">
      <c r="A31" s="90" t="s">
        <v>33</v>
      </c>
      <c r="B31" s="15"/>
      <c r="C31" s="9"/>
      <c r="D31" s="9">
        <v>341</v>
      </c>
      <c r="E31" s="34">
        <v>5000</v>
      </c>
      <c r="F31" s="89" t="s">
        <v>74</v>
      </c>
      <c r="G31" s="8"/>
      <c r="H31" s="56" t="s">
        <v>353</v>
      </c>
      <c r="I31" s="88"/>
    </row>
    <row r="32" spans="1:9" ht="30.75" customHeight="1">
      <c r="A32" s="90" t="s">
        <v>62</v>
      </c>
      <c r="B32" s="15"/>
      <c r="C32" s="9"/>
      <c r="D32" s="9">
        <v>343</v>
      </c>
      <c r="E32" s="34">
        <f>35000-770</f>
        <v>34230</v>
      </c>
      <c r="F32" s="89" t="s">
        <v>73</v>
      </c>
      <c r="G32" s="8"/>
      <c r="H32" s="56"/>
      <c r="I32" s="88"/>
    </row>
    <row r="33" spans="1:9" ht="30.75" customHeight="1">
      <c r="A33" s="90" t="s">
        <v>231</v>
      </c>
      <c r="B33" s="15"/>
      <c r="C33" s="9"/>
      <c r="D33" s="9">
        <v>343</v>
      </c>
      <c r="E33" s="34">
        <v>770</v>
      </c>
      <c r="F33" s="89" t="s">
        <v>73</v>
      </c>
      <c r="G33" s="8"/>
      <c r="H33" s="56" t="s">
        <v>232</v>
      </c>
      <c r="I33" s="88" t="s">
        <v>375</v>
      </c>
    </row>
    <row r="34" spans="1:9" ht="30.75" customHeight="1">
      <c r="A34" s="90"/>
      <c r="B34" s="15"/>
      <c r="C34" s="9"/>
      <c r="D34" s="9">
        <v>346</v>
      </c>
      <c r="E34" s="34">
        <f>35000-900-7995.4-7470-1500-1970-5402.96</f>
        <v>9761.64</v>
      </c>
      <c r="F34" s="89" t="s">
        <v>74</v>
      </c>
      <c r="G34" s="8"/>
      <c r="H34" s="56"/>
      <c r="I34" s="88"/>
    </row>
    <row r="35" spans="1:9" ht="30.75" customHeight="1">
      <c r="A35" s="90" t="s">
        <v>235</v>
      </c>
      <c r="B35" s="15"/>
      <c r="C35" s="9"/>
      <c r="D35" s="9">
        <v>346</v>
      </c>
      <c r="E35" s="34">
        <v>1970</v>
      </c>
      <c r="F35" s="89" t="s">
        <v>74</v>
      </c>
      <c r="G35" s="8"/>
      <c r="H35" s="56" t="s">
        <v>236</v>
      </c>
      <c r="I35" s="88" t="s">
        <v>375</v>
      </c>
    </row>
    <row r="36" spans="1:9" ht="30.75" customHeight="1">
      <c r="A36" s="90" t="s">
        <v>188</v>
      </c>
      <c r="B36" s="15"/>
      <c r="C36" s="9"/>
      <c r="D36" s="9">
        <v>346</v>
      </c>
      <c r="E36" s="34">
        <v>7470</v>
      </c>
      <c r="F36" s="89" t="s">
        <v>74</v>
      </c>
      <c r="G36" s="8"/>
      <c r="H36" s="56" t="s">
        <v>189</v>
      </c>
      <c r="I36" s="88" t="s">
        <v>375</v>
      </c>
    </row>
    <row r="37" spans="1:9" ht="30.75" customHeight="1">
      <c r="A37" s="90" t="s">
        <v>182</v>
      </c>
      <c r="B37" s="15"/>
      <c r="C37" s="9"/>
      <c r="D37" s="9">
        <v>346</v>
      </c>
      <c r="E37" s="34">
        <v>7995.4</v>
      </c>
      <c r="F37" s="89" t="s">
        <v>74</v>
      </c>
      <c r="G37" s="8"/>
      <c r="H37" s="56" t="s">
        <v>183</v>
      </c>
      <c r="I37" s="88"/>
    </row>
    <row r="38" spans="1:9" ht="30.75" customHeight="1">
      <c r="A38" s="90" t="s">
        <v>128</v>
      </c>
      <c r="B38" s="15"/>
      <c r="C38" s="9"/>
      <c r="D38" s="9">
        <v>346</v>
      </c>
      <c r="E38" s="34">
        <v>900</v>
      </c>
      <c r="F38" s="89" t="s">
        <v>74</v>
      </c>
      <c r="G38" s="8"/>
      <c r="H38" s="56" t="s">
        <v>129</v>
      </c>
      <c r="I38" s="88"/>
    </row>
    <row r="39" spans="1:9" ht="30.75" customHeight="1">
      <c r="A39" s="90" t="s">
        <v>274</v>
      </c>
      <c r="B39" s="15"/>
      <c r="C39" s="9"/>
      <c r="D39" s="9">
        <v>346</v>
      </c>
      <c r="E39" s="34">
        <f>1500+5402.96</f>
        <v>6902.96</v>
      </c>
      <c r="F39" s="89" t="s">
        <v>74</v>
      </c>
      <c r="G39" s="8"/>
      <c r="H39" s="56" t="s">
        <v>273</v>
      </c>
      <c r="I39" s="88"/>
    </row>
    <row r="40" spans="1:9" ht="30.75" customHeight="1">
      <c r="A40" s="90" t="s">
        <v>206</v>
      </c>
      <c r="B40" s="15"/>
      <c r="C40" s="9"/>
      <c r="D40" s="9">
        <v>349</v>
      </c>
      <c r="E40" s="34">
        <f>1686-1626</f>
        <v>60</v>
      </c>
      <c r="F40" s="89" t="s">
        <v>74</v>
      </c>
      <c r="G40" s="8"/>
      <c r="H40" s="56"/>
      <c r="I40" s="88"/>
    </row>
    <row r="41" spans="1:9" ht="30.75" customHeight="1">
      <c r="A41" s="90" t="s">
        <v>206</v>
      </c>
      <c r="B41" s="15"/>
      <c r="C41" s="9"/>
      <c r="D41" s="9">
        <v>349</v>
      </c>
      <c r="E41" s="34">
        <v>1626</v>
      </c>
      <c r="F41" s="89" t="s">
        <v>74</v>
      </c>
      <c r="G41" s="8"/>
      <c r="H41" s="56" t="s">
        <v>273</v>
      </c>
      <c r="I41" s="88"/>
    </row>
    <row r="42" spans="1:9" ht="25.5">
      <c r="A42" s="13" t="s">
        <v>12</v>
      </c>
      <c r="B42" s="12"/>
      <c r="C42" s="13"/>
      <c r="D42" s="13"/>
      <c r="E42" s="13"/>
      <c r="F42" s="13"/>
      <c r="G42" s="17"/>
      <c r="H42" s="56"/>
      <c r="I42" s="92"/>
    </row>
    <row r="43" spans="1:9" ht="24.75" customHeight="1">
      <c r="A43" s="13">
        <v>223</v>
      </c>
      <c r="B43" s="12">
        <f>E44+E45+E47+E48+E49+E50+E52+E53</f>
        <v>6090500</v>
      </c>
      <c r="C43" s="13"/>
      <c r="D43" s="9"/>
      <c r="E43" s="93"/>
      <c r="F43" s="30"/>
      <c r="G43" s="17"/>
      <c r="H43" s="56"/>
      <c r="I43" s="92"/>
    </row>
    <row r="44" spans="1:9" ht="12.75">
      <c r="A44" s="11"/>
      <c r="B44" s="12" t="s">
        <v>71</v>
      </c>
      <c r="C44" s="13"/>
      <c r="D44" s="9">
        <v>223</v>
      </c>
      <c r="E44" s="34">
        <f>5742700-1272645.67-851796.12-2689586.68-718080-209520+47704.24+76724.64</f>
        <v>125500.4099999998</v>
      </c>
      <c r="F44" s="89" t="s">
        <v>90</v>
      </c>
      <c r="G44" s="14"/>
      <c r="H44" s="56"/>
      <c r="I44" s="88"/>
    </row>
    <row r="45" spans="1:9" ht="26.25" customHeight="1">
      <c r="A45" s="257" t="s">
        <v>96</v>
      </c>
      <c r="B45" s="12" t="s">
        <v>71</v>
      </c>
      <c r="C45" s="13"/>
      <c r="D45" s="9">
        <v>223</v>
      </c>
      <c r="E45" s="34">
        <f>1272645.67-76724.64</f>
        <v>1195921.03</v>
      </c>
      <c r="F45" s="178" t="s">
        <v>75</v>
      </c>
      <c r="G45" s="14"/>
      <c r="H45" s="255" t="s">
        <v>97</v>
      </c>
      <c r="I45" s="88"/>
    </row>
    <row r="46" spans="1:9" ht="26.25" customHeight="1">
      <c r="A46" s="258"/>
      <c r="B46" s="12" t="s">
        <v>72</v>
      </c>
      <c r="C46" s="13"/>
      <c r="D46" s="9">
        <v>223</v>
      </c>
      <c r="E46" s="34">
        <v>76724.64</v>
      </c>
      <c r="F46" s="179"/>
      <c r="G46" s="14"/>
      <c r="H46" s="256"/>
      <c r="I46" s="88"/>
    </row>
    <row r="47" spans="1:9" ht="25.5">
      <c r="A47" s="15" t="s">
        <v>85</v>
      </c>
      <c r="B47" s="12" t="s">
        <v>71</v>
      </c>
      <c r="C47" s="13"/>
      <c r="D47" s="9">
        <v>223</v>
      </c>
      <c r="E47" s="34">
        <v>851796.12</v>
      </c>
      <c r="F47" s="89" t="s">
        <v>75</v>
      </c>
      <c r="G47" s="14"/>
      <c r="H47" s="56" t="s">
        <v>83</v>
      </c>
      <c r="I47" s="88"/>
    </row>
    <row r="48" spans="1:9" ht="31.5" customHeight="1">
      <c r="A48" s="11" t="s">
        <v>94</v>
      </c>
      <c r="B48" s="12" t="s">
        <v>71</v>
      </c>
      <c r="C48" s="13"/>
      <c r="D48" s="9">
        <v>223</v>
      </c>
      <c r="E48" s="34">
        <v>2689586.68</v>
      </c>
      <c r="F48" s="89" t="s">
        <v>75</v>
      </c>
      <c r="G48" s="14"/>
      <c r="H48" s="56" t="s">
        <v>95</v>
      </c>
      <c r="I48" s="88"/>
    </row>
    <row r="49" spans="1:9" ht="25.5">
      <c r="A49" s="15" t="s">
        <v>81</v>
      </c>
      <c r="B49" s="12" t="s">
        <v>71</v>
      </c>
      <c r="C49" s="13"/>
      <c r="D49" s="9">
        <v>223</v>
      </c>
      <c r="E49" s="34">
        <v>718080</v>
      </c>
      <c r="F49" s="89" t="s">
        <v>76</v>
      </c>
      <c r="G49" s="14"/>
      <c r="H49" s="56" t="s">
        <v>82</v>
      </c>
      <c r="I49" s="88"/>
    </row>
    <row r="50" spans="1:9" ht="25.5">
      <c r="A50" s="15" t="s">
        <v>98</v>
      </c>
      <c r="B50" s="12" t="s">
        <v>71</v>
      </c>
      <c r="C50" s="13"/>
      <c r="D50" s="9">
        <v>223</v>
      </c>
      <c r="E50" s="34">
        <v>209520</v>
      </c>
      <c r="F50" s="89" t="s">
        <v>76</v>
      </c>
      <c r="G50" s="14"/>
      <c r="H50" s="56" t="s">
        <v>99</v>
      </c>
      <c r="I50" s="88"/>
    </row>
    <row r="51" spans="1:9" ht="12.75">
      <c r="A51" s="15"/>
      <c r="B51" s="12" t="s">
        <v>72</v>
      </c>
      <c r="C51" s="13"/>
      <c r="D51" s="9">
        <v>223</v>
      </c>
      <c r="E51" s="34">
        <f>427000-239592.51-60503.25-47704.24-76724.64</f>
        <v>2475.3600000000006</v>
      </c>
      <c r="F51" s="89" t="s">
        <v>90</v>
      </c>
      <c r="G51" s="9"/>
      <c r="H51" s="56"/>
      <c r="I51" s="88"/>
    </row>
    <row r="52" spans="1:9" ht="25.5">
      <c r="A52" s="15" t="s">
        <v>147</v>
      </c>
      <c r="B52" s="12" t="s">
        <v>72</v>
      </c>
      <c r="C52" s="13"/>
      <c r="D52" s="9">
        <v>223</v>
      </c>
      <c r="E52" s="34">
        <v>239592.51</v>
      </c>
      <c r="F52" s="89" t="s">
        <v>75</v>
      </c>
      <c r="G52" s="9"/>
      <c r="H52" s="56" t="s">
        <v>148</v>
      </c>
      <c r="I52" s="88"/>
    </row>
    <row r="53" spans="1:9" ht="42.75" customHeight="1">
      <c r="A53" s="15" t="s">
        <v>108</v>
      </c>
      <c r="B53" s="12" t="s">
        <v>72</v>
      </c>
      <c r="C53" s="13"/>
      <c r="D53" s="9">
        <v>223</v>
      </c>
      <c r="E53" s="34">
        <v>60503.25</v>
      </c>
      <c r="F53" s="89" t="s">
        <v>75</v>
      </c>
      <c r="G53" s="33"/>
      <c r="H53" s="56" t="s">
        <v>109</v>
      </c>
      <c r="I53" s="88"/>
    </row>
    <row r="54" spans="1:9" ht="25.5">
      <c r="A54" s="15" t="s">
        <v>133</v>
      </c>
      <c r="B54" s="16"/>
      <c r="C54" s="13"/>
      <c r="D54" s="9">
        <v>224</v>
      </c>
      <c r="E54" s="34">
        <f>87600-1500</f>
        <v>86100</v>
      </c>
      <c r="F54" s="89" t="s">
        <v>74</v>
      </c>
      <c r="G54" s="9"/>
      <c r="H54" s="56" t="s">
        <v>134</v>
      </c>
      <c r="I54" s="88"/>
    </row>
    <row r="55" spans="1:9" ht="25.5">
      <c r="A55" s="15" t="s">
        <v>133</v>
      </c>
      <c r="B55" s="16"/>
      <c r="C55" s="13"/>
      <c r="D55" s="9">
        <v>224</v>
      </c>
      <c r="E55" s="34">
        <f>1500+84304.51</f>
        <v>85804.51</v>
      </c>
      <c r="F55" s="89" t="s">
        <v>74</v>
      </c>
      <c r="G55" s="10"/>
      <c r="H55" s="56" t="s">
        <v>337</v>
      </c>
      <c r="I55" s="88"/>
    </row>
    <row r="56" spans="1:9" ht="12.75">
      <c r="A56" s="15"/>
      <c r="B56" s="16"/>
      <c r="C56" s="13"/>
      <c r="D56" s="9">
        <v>224</v>
      </c>
      <c r="E56" s="34">
        <f>84600-84304.51</f>
        <v>295.49000000000524</v>
      </c>
      <c r="F56" s="89" t="s">
        <v>74</v>
      </c>
      <c r="G56" s="10"/>
      <c r="H56" s="57"/>
      <c r="I56" s="88"/>
    </row>
    <row r="57" spans="1:9" ht="43.5" customHeight="1">
      <c r="A57" s="15"/>
      <c r="B57" s="94"/>
      <c r="C57" s="95"/>
      <c r="D57" s="10"/>
      <c r="E57" s="34"/>
      <c r="F57" s="30"/>
      <c r="G57" s="10"/>
      <c r="H57" s="57"/>
      <c r="I57" s="88"/>
    </row>
    <row r="58" spans="1:9" ht="20.25" customHeight="1">
      <c r="A58" s="13">
        <v>225</v>
      </c>
      <c r="B58" s="12">
        <f>E59+E62+E67+E68+E69+E72+E73+E76+E77+E81</f>
        <v>471555.8</v>
      </c>
      <c r="C58" s="13"/>
      <c r="D58" s="52"/>
      <c r="E58" s="96"/>
      <c r="F58" s="97"/>
      <c r="G58" s="52"/>
      <c r="H58" s="98"/>
      <c r="I58" s="88"/>
    </row>
    <row r="59" spans="1:9" ht="15.75" customHeight="1">
      <c r="A59" s="15" t="s">
        <v>13</v>
      </c>
      <c r="B59" s="12"/>
      <c r="C59" s="13"/>
      <c r="D59" s="9">
        <v>225</v>
      </c>
      <c r="E59" s="34">
        <f>54000-16800-22400</f>
        <v>14800</v>
      </c>
      <c r="F59" s="89" t="s">
        <v>74</v>
      </c>
      <c r="G59" s="10"/>
      <c r="H59" s="57"/>
      <c r="I59" s="88" t="s">
        <v>375</v>
      </c>
    </row>
    <row r="60" spans="1:9" ht="49.5" customHeight="1">
      <c r="A60" s="15" t="s">
        <v>106</v>
      </c>
      <c r="B60" s="12"/>
      <c r="C60" s="13"/>
      <c r="D60" s="9">
        <v>225</v>
      </c>
      <c r="E60" s="34">
        <v>22400</v>
      </c>
      <c r="F60" s="89" t="s">
        <v>74</v>
      </c>
      <c r="G60" s="10"/>
      <c r="H60" s="56" t="s">
        <v>107</v>
      </c>
      <c r="I60" s="88" t="s">
        <v>375</v>
      </c>
    </row>
    <row r="61" spans="1:9" ht="27.75" customHeight="1">
      <c r="A61" s="15" t="s">
        <v>104</v>
      </c>
      <c r="B61" s="12"/>
      <c r="C61" s="13"/>
      <c r="D61" s="9">
        <v>225</v>
      </c>
      <c r="E61" s="34">
        <v>16800</v>
      </c>
      <c r="F61" s="89" t="s">
        <v>74</v>
      </c>
      <c r="G61" s="10"/>
      <c r="H61" s="56" t="s">
        <v>105</v>
      </c>
      <c r="I61" s="88" t="s">
        <v>375</v>
      </c>
    </row>
    <row r="62" spans="1:9" ht="27.75" customHeight="1">
      <c r="A62" s="15" t="s">
        <v>14</v>
      </c>
      <c r="B62" s="12"/>
      <c r="C62" s="13"/>
      <c r="D62" s="9">
        <v>225</v>
      </c>
      <c r="E62" s="34">
        <v>54000</v>
      </c>
      <c r="F62" s="89" t="s">
        <v>74</v>
      </c>
      <c r="G62" s="10"/>
      <c r="H62" s="56" t="s">
        <v>130</v>
      </c>
      <c r="I62" s="88" t="s">
        <v>375</v>
      </c>
    </row>
    <row r="63" spans="1:9" ht="27.75" customHeight="1">
      <c r="A63" s="15" t="s">
        <v>135</v>
      </c>
      <c r="B63" s="12"/>
      <c r="C63" s="13"/>
      <c r="D63" s="9">
        <v>225</v>
      </c>
      <c r="E63" s="34">
        <v>18000</v>
      </c>
      <c r="F63" s="89" t="s">
        <v>74</v>
      </c>
      <c r="G63" s="10"/>
      <c r="H63" s="56" t="s">
        <v>136</v>
      </c>
      <c r="I63" s="88" t="s">
        <v>375</v>
      </c>
    </row>
    <row r="64" spans="1:9" ht="27.75" customHeight="1">
      <c r="A64" s="15" t="s">
        <v>355</v>
      </c>
      <c r="B64" s="12"/>
      <c r="C64" s="13"/>
      <c r="D64" s="9">
        <v>225</v>
      </c>
      <c r="E64" s="34">
        <v>2000</v>
      </c>
      <c r="F64" s="89" t="s">
        <v>74</v>
      </c>
      <c r="G64" s="10"/>
      <c r="H64" s="56" t="s">
        <v>356</v>
      </c>
      <c r="I64" s="88" t="s">
        <v>375</v>
      </c>
    </row>
    <row r="65" spans="1:9" ht="27.75" customHeight="1">
      <c r="A65" s="15" t="s">
        <v>357</v>
      </c>
      <c r="B65" s="12"/>
      <c r="C65" s="13"/>
      <c r="D65" s="9">
        <v>225</v>
      </c>
      <c r="E65" s="34">
        <v>12000</v>
      </c>
      <c r="F65" s="89" t="s">
        <v>74</v>
      </c>
      <c r="G65" s="10"/>
      <c r="H65" s="56" t="s">
        <v>358</v>
      </c>
      <c r="I65" s="88" t="s">
        <v>375</v>
      </c>
    </row>
    <row r="66" spans="1:9" ht="27.75" customHeight="1">
      <c r="A66" s="15" t="s">
        <v>359</v>
      </c>
      <c r="B66" s="12"/>
      <c r="C66" s="13"/>
      <c r="D66" s="9">
        <v>225</v>
      </c>
      <c r="E66" s="34">
        <v>9683</v>
      </c>
      <c r="F66" s="89" t="s">
        <v>74</v>
      </c>
      <c r="G66" s="10"/>
      <c r="H66" s="56" t="s">
        <v>360</v>
      </c>
      <c r="I66" s="88" t="s">
        <v>375</v>
      </c>
    </row>
    <row r="67" spans="1:9" ht="21.75" customHeight="1">
      <c r="A67" s="15" t="s">
        <v>15</v>
      </c>
      <c r="B67" s="12"/>
      <c r="C67" s="13"/>
      <c r="D67" s="9">
        <v>225</v>
      </c>
      <c r="E67" s="34">
        <f>90000-18000-2000-12000-9683</f>
        <v>48317</v>
      </c>
      <c r="F67" s="89" t="s">
        <v>74</v>
      </c>
      <c r="G67" s="10"/>
      <c r="H67" s="56"/>
      <c r="I67" s="88" t="s">
        <v>375</v>
      </c>
    </row>
    <row r="68" spans="1:9" ht="28.5" customHeight="1">
      <c r="A68" s="15" t="s">
        <v>16</v>
      </c>
      <c r="B68" s="12"/>
      <c r="C68" s="13"/>
      <c r="D68" s="9">
        <v>225</v>
      </c>
      <c r="E68" s="34">
        <v>35000</v>
      </c>
      <c r="F68" s="89" t="s">
        <v>74</v>
      </c>
      <c r="G68" s="10"/>
      <c r="H68" s="56"/>
      <c r="I68" s="88" t="s">
        <v>375</v>
      </c>
    </row>
    <row r="69" spans="1:9" ht="27.75" customHeight="1">
      <c r="A69" s="15" t="s">
        <v>43</v>
      </c>
      <c r="B69" s="12"/>
      <c r="C69" s="13"/>
      <c r="D69" s="9">
        <v>225</v>
      </c>
      <c r="E69" s="34">
        <f>52900-2485.2-26856</f>
        <v>23558.800000000003</v>
      </c>
      <c r="F69" s="89" t="s">
        <v>74</v>
      </c>
      <c r="G69" s="10"/>
      <c r="H69" s="56"/>
      <c r="I69" s="88"/>
    </row>
    <row r="70" spans="1:9" ht="39.75" customHeight="1">
      <c r="A70" s="15" t="s">
        <v>297</v>
      </c>
      <c r="B70" s="12"/>
      <c r="C70" s="13"/>
      <c r="D70" s="9">
        <v>225</v>
      </c>
      <c r="E70" s="34">
        <v>26856</v>
      </c>
      <c r="F70" s="89" t="s">
        <v>74</v>
      </c>
      <c r="G70" s="10"/>
      <c r="H70" s="56" t="s">
        <v>298</v>
      </c>
      <c r="I70" s="88"/>
    </row>
    <row r="71" spans="1:9" ht="33" customHeight="1">
      <c r="A71" s="15" t="s">
        <v>176</v>
      </c>
      <c r="B71" s="12"/>
      <c r="C71" s="13"/>
      <c r="D71" s="9">
        <v>225</v>
      </c>
      <c r="E71" s="34">
        <v>2485.2</v>
      </c>
      <c r="F71" s="89" t="s">
        <v>74</v>
      </c>
      <c r="G71" s="10"/>
      <c r="H71" s="56" t="s">
        <v>177</v>
      </c>
      <c r="I71" s="88"/>
    </row>
    <row r="72" spans="1:9" ht="38.25" customHeight="1">
      <c r="A72" s="15" t="s">
        <v>17</v>
      </c>
      <c r="B72" s="12"/>
      <c r="C72" s="13"/>
      <c r="D72" s="9">
        <v>225</v>
      </c>
      <c r="E72" s="34">
        <v>59800</v>
      </c>
      <c r="F72" s="89" t="s">
        <v>74</v>
      </c>
      <c r="G72" s="10"/>
      <c r="H72" s="56"/>
      <c r="I72" s="88"/>
    </row>
    <row r="73" spans="1:9" ht="24" customHeight="1">
      <c r="A73" s="15" t="s">
        <v>18</v>
      </c>
      <c r="B73" s="12"/>
      <c r="C73" s="13"/>
      <c r="D73" s="9">
        <v>225</v>
      </c>
      <c r="E73" s="34">
        <f>75000-22000-31000</f>
        <v>22000</v>
      </c>
      <c r="F73" s="89" t="s">
        <v>74</v>
      </c>
      <c r="G73" s="10"/>
      <c r="H73" s="56" t="s">
        <v>243</v>
      </c>
      <c r="I73" s="88"/>
    </row>
    <row r="74" spans="1:9" ht="56.25" customHeight="1">
      <c r="A74" s="15" t="s">
        <v>227</v>
      </c>
      <c r="B74" s="12"/>
      <c r="C74" s="13"/>
      <c r="D74" s="9">
        <v>225</v>
      </c>
      <c r="E74" s="34">
        <v>31000</v>
      </c>
      <c r="F74" s="89" t="s">
        <v>74</v>
      </c>
      <c r="G74" s="10"/>
      <c r="H74" s="56" t="s">
        <v>228</v>
      </c>
      <c r="I74" s="88"/>
    </row>
    <row r="75" spans="1:9" ht="56.25" customHeight="1">
      <c r="A75" s="15" t="s">
        <v>219</v>
      </c>
      <c r="B75" s="12"/>
      <c r="C75" s="13"/>
      <c r="D75" s="9">
        <v>225</v>
      </c>
      <c r="E75" s="34">
        <v>22000</v>
      </c>
      <c r="F75" s="89" t="s">
        <v>74</v>
      </c>
      <c r="G75" s="10"/>
      <c r="H75" s="56" t="s">
        <v>220</v>
      </c>
      <c r="I75" s="88"/>
    </row>
    <row r="76" spans="1:9" ht="12.75">
      <c r="A76" s="15" t="s">
        <v>19</v>
      </c>
      <c r="B76" s="16"/>
      <c r="C76" s="13"/>
      <c r="D76" s="9">
        <v>225</v>
      </c>
      <c r="E76" s="34">
        <v>2500</v>
      </c>
      <c r="F76" s="89" t="s">
        <v>74</v>
      </c>
      <c r="G76" s="17"/>
      <c r="H76" s="56"/>
      <c r="I76" s="88"/>
    </row>
    <row r="77" spans="1:9" ht="12.75">
      <c r="A77" s="15" t="s">
        <v>63</v>
      </c>
      <c r="B77" s="16"/>
      <c r="C77" s="13"/>
      <c r="D77" s="9">
        <v>225</v>
      </c>
      <c r="E77" s="34">
        <f>182600-1920-39000-5100</f>
        <v>136580</v>
      </c>
      <c r="F77" s="89" t="s">
        <v>74</v>
      </c>
      <c r="G77" s="17"/>
      <c r="H77" s="56"/>
      <c r="I77" s="88"/>
    </row>
    <row r="78" spans="1:9" ht="25.5">
      <c r="A78" s="15" t="s">
        <v>267</v>
      </c>
      <c r="B78" s="16"/>
      <c r="C78" s="13"/>
      <c r="D78" s="9">
        <v>225</v>
      </c>
      <c r="E78" s="34">
        <v>5100</v>
      </c>
      <c r="F78" s="89" t="s">
        <v>74</v>
      </c>
      <c r="G78" s="17"/>
      <c r="H78" s="56" t="s">
        <v>268</v>
      </c>
      <c r="I78" s="88" t="s">
        <v>375</v>
      </c>
    </row>
    <row r="79" spans="1:9" ht="35.25" customHeight="1">
      <c r="A79" s="15" t="s">
        <v>229</v>
      </c>
      <c r="B79" s="16"/>
      <c r="C79" s="13"/>
      <c r="D79" s="9">
        <v>225</v>
      </c>
      <c r="E79" s="34">
        <v>39000</v>
      </c>
      <c r="F79" s="89" t="s">
        <v>74</v>
      </c>
      <c r="G79" s="17"/>
      <c r="H79" s="56" t="s">
        <v>230</v>
      </c>
      <c r="I79" s="88" t="s">
        <v>375</v>
      </c>
    </row>
    <row r="80" spans="1:9" ht="25.5">
      <c r="A80" s="15" t="s">
        <v>124</v>
      </c>
      <c r="B80" s="16"/>
      <c r="C80" s="13"/>
      <c r="D80" s="9">
        <v>226</v>
      </c>
      <c r="E80" s="34">
        <v>1920</v>
      </c>
      <c r="F80" s="89" t="s">
        <v>74</v>
      </c>
      <c r="G80" s="17"/>
      <c r="H80" s="56" t="s">
        <v>125</v>
      </c>
      <c r="I80" s="88" t="s">
        <v>375</v>
      </c>
    </row>
    <row r="81" spans="1:9" ht="12.75">
      <c r="A81" s="15" t="s">
        <v>11</v>
      </c>
      <c r="B81" s="16"/>
      <c r="C81" s="13"/>
      <c r="D81" s="9">
        <v>225</v>
      </c>
      <c r="E81" s="34">
        <v>75000</v>
      </c>
      <c r="F81" s="89" t="s">
        <v>74</v>
      </c>
      <c r="G81" s="17"/>
      <c r="H81" s="56"/>
      <c r="I81" s="88"/>
    </row>
    <row r="82" spans="1:9" ht="42" customHeight="1">
      <c r="A82" s="15" t="s">
        <v>163</v>
      </c>
      <c r="B82" s="16"/>
      <c r="C82" s="13"/>
      <c r="D82" s="9">
        <v>225</v>
      </c>
      <c r="E82" s="34">
        <v>72000</v>
      </c>
      <c r="F82" s="89" t="s">
        <v>73</v>
      </c>
      <c r="G82" s="17"/>
      <c r="H82" s="56" t="s">
        <v>164</v>
      </c>
      <c r="I82" s="88"/>
    </row>
    <row r="83" spans="1:9" ht="42" customHeight="1">
      <c r="A83" s="15" t="s">
        <v>314</v>
      </c>
      <c r="B83" s="16"/>
      <c r="C83" s="13"/>
      <c r="D83" s="9">
        <v>225</v>
      </c>
      <c r="E83" s="34">
        <v>14799.81</v>
      </c>
      <c r="F83" s="89" t="s">
        <v>73</v>
      </c>
      <c r="G83" s="17"/>
      <c r="H83" s="66" t="s">
        <v>312</v>
      </c>
      <c r="I83" s="88"/>
    </row>
    <row r="84" spans="1:9" ht="42" customHeight="1">
      <c r="A84" s="15" t="s">
        <v>325</v>
      </c>
      <c r="B84" s="16"/>
      <c r="C84" s="13"/>
      <c r="D84" s="9">
        <v>225</v>
      </c>
      <c r="E84" s="34">
        <v>3377.42</v>
      </c>
      <c r="F84" s="89" t="s">
        <v>73</v>
      </c>
      <c r="G84" s="17"/>
      <c r="H84" s="66" t="s">
        <v>326</v>
      </c>
      <c r="I84" s="88" t="s">
        <v>375</v>
      </c>
    </row>
    <row r="85" spans="1:9" ht="23.25" customHeight="1">
      <c r="A85" s="15"/>
      <c r="B85" s="16"/>
      <c r="C85" s="13"/>
      <c r="D85" s="9">
        <v>225</v>
      </c>
      <c r="E85" s="34">
        <f>150171.47-72000-14799.81-3377.42</f>
        <v>59994.240000000005</v>
      </c>
      <c r="F85" s="89" t="s">
        <v>73</v>
      </c>
      <c r="G85" s="17"/>
      <c r="H85" s="56"/>
      <c r="I85" s="88"/>
    </row>
    <row r="86" spans="1:9" ht="25.5">
      <c r="A86" s="15" t="s">
        <v>20</v>
      </c>
      <c r="B86" s="16"/>
      <c r="C86" s="13"/>
      <c r="D86" s="9">
        <v>226</v>
      </c>
      <c r="E86" s="34">
        <f>230500+44</f>
        <v>230544</v>
      </c>
      <c r="F86" s="89" t="s">
        <v>73</v>
      </c>
      <c r="G86" s="17"/>
      <c r="H86" s="56" t="s">
        <v>137</v>
      </c>
      <c r="I86" s="88"/>
    </row>
    <row r="87" spans="1:9" ht="12.75">
      <c r="A87" s="15" t="s">
        <v>64</v>
      </c>
      <c r="B87" s="16"/>
      <c r="C87" s="13"/>
      <c r="D87" s="9">
        <v>226</v>
      </c>
      <c r="E87" s="34">
        <f>2131200-468000-44-6000-12000-468000-468000-E154</f>
        <v>695198</v>
      </c>
      <c r="F87" s="89" t="s">
        <v>73</v>
      </c>
      <c r="G87" s="17"/>
      <c r="H87" s="56"/>
      <c r="I87" s="88"/>
    </row>
    <row r="88" spans="1:9" ht="25.5">
      <c r="A88" s="15" t="s">
        <v>92</v>
      </c>
      <c r="B88" s="16"/>
      <c r="C88" s="13"/>
      <c r="D88" s="9">
        <v>226</v>
      </c>
      <c r="E88" s="34">
        <v>468000</v>
      </c>
      <c r="F88" s="89" t="s">
        <v>73</v>
      </c>
      <c r="G88" s="17"/>
      <c r="H88" s="56" t="s">
        <v>93</v>
      </c>
      <c r="I88" s="88" t="s">
        <v>375</v>
      </c>
    </row>
    <row r="89" spans="1:9" ht="39.75" customHeight="1">
      <c r="A89" s="15" t="s">
        <v>233</v>
      </c>
      <c r="B89" s="16"/>
      <c r="C89" s="13"/>
      <c r="D89" s="9">
        <v>226</v>
      </c>
      <c r="E89" s="34">
        <v>468000</v>
      </c>
      <c r="F89" s="89" t="s">
        <v>73</v>
      </c>
      <c r="G89" s="17"/>
      <c r="H89" s="56" t="s">
        <v>234</v>
      </c>
      <c r="I89" s="88" t="s">
        <v>375</v>
      </c>
    </row>
    <row r="90" spans="1:9" ht="39.75" customHeight="1">
      <c r="A90" s="15" t="s">
        <v>340</v>
      </c>
      <c r="B90" s="16"/>
      <c r="C90" s="13"/>
      <c r="D90" s="9">
        <v>226</v>
      </c>
      <c r="E90" s="34">
        <v>468000</v>
      </c>
      <c r="F90" s="99" t="s">
        <v>73</v>
      </c>
      <c r="G90" s="17"/>
      <c r="H90" s="56" t="s">
        <v>341</v>
      </c>
      <c r="I90" s="88" t="s">
        <v>375</v>
      </c>
    </row>
    <row r="91" spans="1:9" ht="34.5" customHeight="1">
      <c r="A91" s="15" t="s">
        <v>145</v>
      </c>
      <c r="B91" s="16"/>
      <c r="C91" s="13"/>
      <c r="D91" s="9">
        <v>226</v>
      </c>
      <c r="E91" s="34">
        <f>12000+6000</f>
        <v>18000</v>
      </c>
      <c r="F91" s="89" t="s">
        <v>73</v>
      </c>
      <c r="G91" s="17"/>
      <c r="H91" s="56" t="s">
        <v>146</v>
      </c>
      <c r="I91" s="88" t="s">
        <v>375</v>
      </c>
    </row>
    <row r="92" spans="1:9" ht="34.5" customHeight="1">
      <c r="A92" s="15" t="s">
        <v>157</v>
      </c>
      <c r="B92" s="16"/>
      <c r="C92" s="13"/>
      <c r="D92" s="9">
        <v>226</v>
      </c>
      <c r="E92" s="34">
        <v>12000</v>
      </c>
      <c r="F92" s="89" t="s">
        <v>73</v>
      </c>
      <c r="G92" s="17"/>
      <c r="H92" s="56" t="s">
        <v>158</v>
      </c>
      <c r="I92" s="88" t="s">
        <v>375</v>
      </c>
    </row>
    <row r="93" spans="1:9" ht="12.75">
      <c r="A93" s="15" t="s">
        <v>65</v>
      </c>
      <c r="B93" s="16"/>
      <c r="C93" s="13"/>
      <c r="D93" s="9">
        <v>227</v>
      </c>
      <c r="E93" s="34">
        <v>30000</v>
      </c>
      <c r="F93" s="89" t="s">
        <v>74</v>
      </c>
      <c r="G93" s="17"/>
      <c r="H93" s="56"/>
      <c r="I93" s="88"/>
    </row>
    <row r="94" spans="1:9" ht="12.75">
      <c r="A94" s="15"/>
      <c r="B94" s="16"/>
      <c r="C94" s="13"/>
      <c r="D94" s="9">
        <v>344</v>
      </c>
      <c r="E94" s="34">
        <v>50000</v>
      </c>
      <c r="F94" s="89" t="s">
        <v>73</v>
      </c>
      <c r="G94" s="17"/>
      <c r="H94" s="56"/>
      <c r="I94" s="88"/>
    </row>
    <row r="95" spans="1:9" ht="29.25" customHeight="1">
      <c r="A95" s="11"/>
      <c r="B95" s="16"/>
      <c r="C95" s="13"/>
      <c r="D95" s="9">
        <v>346</v>
      </c>
      <c r="E95" s="34">
        <f>80000-1686.52-1610-E101-1078-9987.55-3700-2914.4-18658</f>
        <v>18765.52999999999</v>
      </c>
      <c r="F95" s="89" t="s">
        <v>73</v>
      </c>
      <c r="G95" s="17"/>
      <c r="H95" s="56"/>
      <c r="I95" s="88" t="s">
        <v>375</v>
      </c>
    </row>
    <row r="96" spans="1:9" ht="29.25" customHeight="1">
      <c r="A96" s="15" t="s">
        <v>250</v>
      </c>
      <c r="B96" s="16"/>
      <c r="C96" s="13"/>
      <c r="D96" s="9">
        <v>346</v>
      </c>
      <c r="E96" s="34">
        <v>18658</v>
      </c>
      <c r="F96" s="89" t="s">
        <v>73</v>
      </c>
      <c r="G96" s="17"/>
      <c r="H96" s="56" t="s">
        <v>319</v>
      </c>
      <c r="I96" s="88" t="s">
        <v>375</v>
      </c>
    </row>
    <row r="97" spans="1:9" ht="29.25" customHeight="1">
      <c r="A97" s="15" t="s">
        <v>250</v>
      </c>
      <c r="B97" s="16"/>
      <c r="C97" s="13"/>
      <c r="D97" s="9">
        <v>346</v>
      </c>
      <c r="E97" s="34">
        <v>2914.4</v>
      </c>
      <c r="F97" s="89" t="s">
        <v>73</v>
      </c>
      <c r="G97" s="17"/>
      <c r="H97" s="66" t="s">
        <v>311</v>
      </c>
      <c r="I97" s="88"/>
    </row>
    <row r="98" spans="1:9" ht="29.25" customHeight="1">
      <c r="A98" s="11" t="s">
        <v>295</v>
      </c>
      <c r="B98" s="16"/>
      <c r="C98" s="13"/>
      <c r="D98" s="9">
        <v>346</v>
      </c>
      <c r="E98" s="34">
        <v>3700</v>
      </c>
      <c r="F98" s="89" t="s">
        <v>73</v>
      </c>
      <c r="G98" s="17"/>
      <c r="H98" s="56" t="s">
        <v>296</v>
      </c>
      <c r="I98" s="88" t="s">
        <v>375</v>
      </c>
    </row>
    <row r="99" spans="1:9" ht="29.25" customHeight="1">
      <c r="A99" s="15" t="s">
        <v>250</v>
      </c>
      <c r="B99" s="16"/>
      <c r="C99" s="13"/>
      <c r="D99" s="9">
        <v>346</v>
      </c>
      <c r="E99" s="34">
        <v>9987.55</v>
      </c>
      <c r="F99" s="89" t="s">
        <v>73</v>
      </c>
      <c r="G99" s="17"/>
      <c r="H99" s="56" t="s">
        <v>276</v>
      </c>
      <c r="I99" s="88"/>
    </row>
    <row r="100" spans="1:9" ht="29.25" customHeight="1">
      <c r="A100" s="11" t="s">
        <v>187</v>
      </c>
      <c r="B100" s="16"/>
      <c r="C100" s="13"/>
      <c r="D100" s="9">
        <v>346</v>
      </c>
      <c r="E100" s="34">
        <v>1078</v>
      </c>
      <c r="F100" s="89" t="s">
        <v>73</v>
      </c>
      <c r="G100" s="17"/>
      <c r="H100" s="56" t="s">
        <v>232</v>
      </c>
      <c r="I100" s="88" t="s">
        <v>375</v>
      </c>
    </row>
    <row r="101" spans="1:9" ht="29.25" customHeight="1">
      <c r="A101" s="11" t="s">
        <v>198</v>
      </c>
      <c r="B101" s="16"/>
      <c r="C101" s="13"/>
      <c r="D101" s="9">
        <v>346</v>
      </c>
      <c r="E101" s="34">
        <v>21600</v>
      </c>
      <c r="F101" s="89" t="s">
        <v>73</v>
      </c>
      <c r="G101" s="17"/>
      <c r="H101" s="56" t="s">
        <v>199</v>
      </c>
      <c r="I101" s="88" t="s">
        <v>375</v>
      </c>
    </row>
    <row r="102" spans="1:9" ht="29.25" customHeight="1">
      <c r="A102" s="11" t="s">
        <v>187</v>
      </c>
      <c r="B102" s="16"/>
      <c r="C102" s="13"/>
      <c r="D102" s="9">
        <v>346</v>
      </c>
      <c r="E102" s="34">
        <v>1610</v>
      </c>
      <c r="F102" s="89" t="s">
        <v>73</v>
      </c>
      <c r="G102" s="17"/>
      <c r="H102" s="56" t="s">
        <v>186</v>
      </c>
      <c r="I102" s="88" t="s">
        <v>375</v>
      </c>
    </row>
    <row r="103" spans="1:9" ht="29.25" customHeight="1">
      <c r="A103" s="11" t="s">
        <v>184</v>
      </c>
      <c r="B103" s="16"/>
      <c r="C103" s="13"/>
      <c r="D103" s="9">
        <v>346</v>
      </c>
      <c r="E103" s="34">
        <v>1686.52</v>
      </c>
      <c r="F103" s="89" t="s">
        <v>73</v>
      </c>
      <c r="G103" s="17"/>
      <c r="H103" s="56" t="s">
        <v>185</v>
      </c>
      <c r="I103" s="88"/>
    </row>
    <row r="104" spans="1:9" ht="24.75" customHeight="1">
      <c r="A104" s="13" t="s">
        <v>67</v>
      </c>
      <c r="B104" s="16"/>
      <c r="C104" s="13"/>
      <c r="D104" s="9"/>
      <c r="E104" s="34"/>
      <c r="F104" s="89"/>
      <c r="G104" s="17"/>
      <c r="H104" s="56"/>
      <c r="I104" s="88"/>
    </row>
    <row r="105" spans="1:9" ht="29.25" customHeight="1">
      <c r="A105" s="11" t="s">
        <v>138</v>
      </c>
      <c r="B105" s="16"/>
      <c r="C105" s="13"/>
      <c r="D105" s="9">
        <v>221</v>
      </c>
      <c r="E105" s="34">
        <f>100000-49845.28</f>
        <v>50154.72</v>
      </c>
      <c r="F105" s="89" t="s">
        <v>74</v>
      </c>
      <c r="G105" s="17"/>
      <c r="H105" s="56" t="s">
        <v>139</v>
      </c>
      <c r="I105" s="88"/>
    </row>
    <row r="106" spans="1:9" ht="29.25" customHeight="1">
      <c r="A106" s="15" t="s">
        <v>126</v>
      </c>
      <c r="B106" s="16"/>
      <c r="C106" s="13"/>
      <c r="D106" s="9">
        <v>221</v>
      </c>
      <c r="E106" s="34">
        <v>49845.28</v>
      </c>
      <c r="F106" s="89" t="s">
        <v>74</v>
      </c>
      <c r="G106" s="17"/>
      <c r="H106" s="56" t="s">
        <v>127</v>
      </c>
      <c r="I106" s="88"/>
    </row>
    <row r="107" spans="1:9" ht="29.25" customHeight="1">
      <c r="A107" s="15" t="s">
        <v>322</v>
      </c>
      <c r="B107" s="16"/>
      <c r="C107" s="13"/>
      <c r="D107" s="9">
        <v>310</v>
      </c>
      <c r="E107" s="34">
        <f>797623.42-136567.62-E109</f>
        <v>114995</v>
      </c>
      <c r="F107" s="89" t="s">
        <v>73</v>
      </c>
      <c r="G107" s="17"/>
      <c r="H107" s="56"/>
      <c r="I107" s="88"/>
    </row>
    <row r="108" spans="1:9" ht="29.25" customHeight="1">
      <c r="A108" s="15"/>
      <c r="B108" s="16"/>
      <c r="C108" s="13"/>
      <c r="D108" s="9">
        <v>310</v>
      </c>
      <c r="E108" s="34">
        <v>651500</v>
      </c>
      <c r="F108" s="89" t="s">
        <v>73</v>
      </c>
      <c r="G108" s="17"/>
      <c r="H108" s="59"/>
      <c r="I108" s="88"/>
    </row>
    <row r="109" spans="1:9" ht="29.25" customHeight="1">
      <c r="A109" s="15" t="s">
        <v>364</v>
      </c>
      <c r="B109" s="16"/>
      <c r="C109" s="13"/>
      <c r="D109" s="9">
        <v>310</v>
      </c>
      <c r="E109" s="34">
        <v>546060.8</v>
      </c>
      <c r="F109" s="89" t="s">
        <v>73</v>
      </c>
      <c r="G109" s="17"/>
      <c r="H109" s="59" t="s">
        <v>367</v>
      </c>
      <c r="I109" s="88" t="s">
        <v>375</v>
      </c>
    </row>
    <row r="110" spans="1:9" ht="29.25" customHeight="1">
      <c r="A110" s="15" t="s">
        <v>364</v>
      </c>
      <c r="B110" s="16"/>
      <c r="C110" s="13"/>
      <c r="D110" s="9">
        <v>310</v>
      </c>
      <c r="E110" s="34">
        <f>1273600-797623.42-12540-12862.3+136567.62</f>
        <v>587141.8999999999</v>
      </c>
      <c r="F110" s="89" t="s">
        <v>73</v>
      </c>
      <c r="G110" s="17"/>
      <c r="H110" s="180" t="s">
        <v>362</v>
      </c>
      <c r="I110" s="167" t="s">
        <v>375</v>
      </c>
    </row>
    <row r="111" spans="1:9" ht="29.25" customHeight="1">
      <c r="A111" s="15" t="s">
        <v>365</v>
      </c>
      <c r="B111" s="16"/>
      <c r="C111" s="13"/>
      <c r="D111" s="9">
        <v>346</v>
      </c>
      <c r="E111" s="34">
        <v>4995</v>
      </c>
      <c r="F111" s="89" t="s">
        <v>73</v>
      </c>
      <c r="G111" s="17"/>
      <c r="H111" s="225"/>
      <c r="I111" s="168"/>
    </row>
    <row r="112" spans="1:9" ht="29.25" customHeight="1">
      <c r="A112" s="15" t="s">
        <v>333</v>
      </c>
      <c r="B112" s="16"/>
      <c r="C112" s="13"/>
      <c r="D112" s="9">
        <v>310</v>
      </c>
      <c r="E112" s="34">
        <v>12862.3</v>
      </c>
      <c r="F112" s="89" t="s">
        <v>73</v>
      </c>
      <c r="G112" s="17"/>
      <c r="H112" s="56" t="s">
        <v>342</v>
      </c>
      <c r="I112" s="88" t="s">
        <v>375</v>
      </c>
    </row>
    <row r="113" spans="1:9" ht="29.25" customHeight="1">
      <c r="A113" s="15" t="s">
        <v>333</v>
      </c>
      <c r="B113" s="16"/>
      <c r="C113" s="13"/>
      <c r="D113" s="9">
        <v>310</v>
      </c>
      <c r="E113" s="34">
        <v>12540</v>
      </c>
      <c r="F113" s="89" t="s">
        <v>73</v>
      </c>
      <c r="G113" s="17"/>
      <c r="H113" s="56" t="s">
        <v>334</v>
      </c>
      <c r="I113" s="88" t="s">
        <v>375</v>
      </c>
    </row>
    <row r="114" spans="1:9" ht="29.25" customHeight="1">
      <c r="A114" s="11"/>
      <c r="B114" s="16"/>
      <c r="C114" s="13"/>
      <c r="D114" s="9">
        <v>343</v>
      </c>
      <c r="E114" s="34">
        <v>160000</v>
      </c>
      <c r="F114" s="89" t="s">
        <v>73</v>
      </c>
      <c r="G114" s="17"/>
      <c r="H114" s="56"/>
      <c r="I114" s="88" t="s">
        <v>375</v>
      </c>
    </row>
    <row r="115" spans="1:9" ht="29.25" customHeight="1">
      <c r="A115" s="11"/>
      <c r="B115" s="16"/>
      <c r="C115" s="13"/>
      <c r="D115" s="9">
        <v>346</v>
      </c>
      <c r="E115" s="34">
        <f>45500-12181.6-1500-6349.03-E111</f>
        <v>20474.370000000003</v>
      </c>
      <c r="F115" s="89" t="s">
        <v>73</v>
      </c>
      <c r="G115" s="17"/>
      <c r="H115" s="56"/>
      <c r="I115" s="88"/>
    </row>
    <row r="116" spans="1:9" ht="29.25" customHeight="1">
      <c r="A116" s="11" t="s">
        <v>275</v>
      </c>
      <c r="B116" s="16"/>
      <c r="C116" s="13"/>
      <c r="D116" s="9">
        <v>346</v>
      </c>
      <c r="E116" s="34">
        <v>6349.03</v>
      </c>
      <c r="F116" s="89" t="s">
        <v>73</v>
      </c>
      <c r="G116" s="17"/>
      <c r="H116" s="56" t="s">
        <v>276</v>
      </c>
      <c r="I116" s="88"/>
    </row>
    <row r="117" spans="1:9" ht="29.25" customHeight="1">
      <c r="A117" s="90" t="s">
        <v>128</v>
      </c>
      <c r="B117" s="16"/>
      <c r="C117" s="13"/>
      <c r="D117" s="9">
        <v>346</v>
      </c>
      <c r="E117" s="34">
        <v>1500</v>
      </c>
      <c r="F117" s="89" t="s">
        <v>73</v>
      </c>
      <c r="G117" s="17"/>
      <c r="H117" s="56" t="s">
        <v>215</v>
      </c>
      <c r="I117" s="88"/>
    </row>
    <row r="118" spans="1:9" ht="29.25" customHeight="1">
      <c r="A118" s="15" t="s">
        <v>239</v>
      </c>
      <c r="B118" s="16"/>
      <c r="C118" s="13"/>
      <c r="D118" s="9">
        <v>349</v>
      </c>
      <c r="E118" s="34">
        <v>12181.6</v>
      </c>
      <c r="F118" s="89" t="s">
        <v>74</v>
      </c>
      <c r="G118" s="17"/>
      <c r="H118" s="56" t="s">
        <v>240</v>
      </c>
      <c r="I118" s="88" t="s">
        <v>375</v>
      </c>
    </row>
    <row r="119" spans="1:9" ht="29.25" customHeight="1">
      <c r="A119" s="13" t="s">
        <v>68</v>
      </c>
      <c r="B119" s="16"/>
      <c r="C119" s="13"/>
      <c r="D119" s="9"/>
      <c r="E119" s="34"/>
      <c r="F119" s="89"/>
      <c r="G119" s="17"/>
      <c r="H119" s="56"/>
      <c r="I119" s="88"/>
    </row>
    <row r="120" spans="1:9" ht="29.25" customHeight="1">
      <c r="A120" s="15" t="s">
        <v>66</v>
      </c>
      <c r="B120" s="16"/>
      <c r="C120" s="13"/>
      <c r="D120" s="9">
        <v>225</v>
      </c>
      <c r="E120" s="34">
        <f>4300000-600000-598800-600000-600000-600000</f>
        <v>1301200</v>
      </c>
      <c r="F120" s="89" t="s">
        <v>73</v>
      </c>
      <c r="G120" s="17"/>
      <c r="H120" s="56"/>
      <c r="I120" s="88"/>
    </row>
    <row r="121" spans="1:9" ht="29.25" customHeight="1">
      <c r="A121" s="15"/>
      <c r="B121" s="16"/>
      <c r="C121" s="13"/>
      <c r="D121" s="9">
        <v>225</v>
      </c>
      <c r="E121" s="34">
        <v>72500</v>
      </c>
      <c r="F121" s="89" t="s">
        <v>73</v>
      </c>
      <c r="G121" s="17"/>
      <c r="H121" s="56"/>
      <c r="I121" s="88"/>
    </row>
    <row r="122" spans="1:9" ht="68.25" customHeight="1">
      <c r="A122" s="15" t="s">
        <v>102</v>
      </c>
      <c r="B122" s="16"/>
      <c r="C122" s="13"/>
      <c r="D122" s="9">
        <v>225</v>
      </c>
      <c r="E122" s="34">
        <v>598800</v>
      </c>
      <c r="F122" s="89" t="s">
        <v>73</v>
      </c>
      <c r="G122" s="17"/>
      <c r="H122" s="56" t="s">
        <v>103</v>
      </c>
      <c r="I122" s="88"/>
    </row>
    <row r="123" spans="1:9" ht="29.25" customHeight="1">
      <c r="A123" s="15" t="s">
        <v>100</v>
      </c>
      <c r="B123" s="16"/>
      <c r="C123" s="13"/>
      <c r="D123" s="9">
        <v>225</v>
      </c>
      <c r="E123" s="34">
        <v>600000</v>
      </c>
      <c r="F123" s="89" t="s">
        <v>73</v>
      </c>
      <c r="G123" s="17"/>
      <c r="H123" s="56" t="s">
        <v>101</v>
      </c>
      <c r="I123" s="88"/>
    </row>
    <row r="124" spans="1:9" ht="29.25" customHeight="1">
      <c r="A124" s="15" t="s">
        <v>180</v>
      </c>
      <c r="B124" s="16"/>
      <c r="C124" s="13"/>
      <c r="D124" s="9">
        <v>225</v>
      </c>
      <c r="E124" s="34">
        <v>600000</v>
      </c>
      <c r="F124" s="89" t="s">
        <v>73</v>
      </c>
      <c r="G124" s="17"/>
      <c r="H124" s="56" t="s">
        <v>181</v>
      </c>
      <c r="I124" s="88"/>
    </row>
    <row r="125" spans="1:9" ht="29.25" customHeight="1">
      <c r="A125" s="15" t="s">
        <v>284</v>
      </c>
      <c r="B125" s="16"/>
      <c r="C125" s="13"/>
      <c r="D125" s="9">
        <v>225</v>
      </c>
      <c r="E125" s="34">
        <v>600000</v>
      </c>
      <c r="F125" s="89" t="s">
        <v>73</v>
      </c>
      <c r="G125" s="17"/>
      <c r="H125" s="56" t="s">
        <v>285</v>
      </c>
      <c r="I125" s="88"/>
    </row>
    <row r="126" spans="1:9" ht="29.25" customHeight="1">
      <c r="A126" s="15" t="s">
        <v>338</v>
      </c>
      <c r="B126" s="16"/>
      <c r="C126" s="13"/>
      <c r="D126" s="9">
        <v>225</v>
      </c>
      <c r="E126" s="34">
        <v>600000</v>
      </c>
      <c r="F126" s="89" t="s">
        <v>73</v>
      </c>
      <c r="G126" s="17"/>
      <c r="H126" s="56" t="s">
        <v>339</v>
      </c>
      <c r="I126" s="88"/>
    </row>
    <row r="127" spans="1:9" ht="25.5">
      <c r="A127" s="13" t="s">
        <v>21</v>
      </c>
      <c r="B127" s="96">
        <f>SUM(E128)</f>
        <v>2000</v>
      </c>
      <c r="C127" s="13"/>
      <c r="D127" s="13"/>
      <c r="E127" s="96"/>
      <c r="F127" s="30"/>
      <c r="G127" s="17"/>
      <c r="H127" s="56"/>
      <c r="I127" s="100"/>
    </row>
    <row r="128" spans="1:9" ht="24.75" customHeight="1">
      <c r="A128" s="11"/>
      <c r="B128" s="11"/>
      <c r="C128" s="10"/>
      <c r="D128" s="10">
        <v>346</v>
      </c>
      <c r="E128" s="34">
        <v>2000</v>
      </c>
      <c r="F128" s="89" t="s">
        <v>74</v>
      </c>
      <c r="G128" s="18"/>
      <c r="H128" s="60"/>
      <c r="I128" s="88"/>
    </row>
    <row r="129" spans="1:9" ht="24.75" customHeight="1">
      <c r="A129" s="259" t="s">
        <v>114</v>
      </c>
      <c r="B129" s="260"/>
      <c r="C129" s="260"/>
      <c r="D129" s="261"/>
      <c r="E129" s="101"/>
      <c r="F129" s="40"/>
      <c r="G129" s="41"/>
      <c r="H129" s="63"/>
      <c r="I129" s="88"/>
    </row>
    <row r="130" spans="1:9" ht="24.75" customHeight="1">
      <c r="A130" s="262" t="s">
        <v>115</v>
      </c>
      <c r="B130" s="263"/>
      <c r="C130" s="263"/>
      <c r="D130" s="264"/>
      <c r="E130" s="39"/>
      <c r="F130" s="40"/>
      <c r="G130" s="41"/>
      <c r="H130" s="61"/>
      <c r="I130" s="88"/>
    </row>
    <row r="131" spans="1:9" ht="24.75" customHeight="1">
      <c r="A131" s="38" t="s">
        <v>116</v>
      </c>
      <c r="B131" s="42"/>
      <c r="C131" s="42"/>
      <c r="D131" s="43">
        <v>221</v>
      </c>
      <c r="E131" s="102">
        <v>10000</v>
      </c>
      <c r="F131" s="89" t="s">
        <v>73</v>
      </c>
      <c r="G131" s="44"/>
      <c r="H131" s="62"/>
      <c r="I131" s="88"/>
    </row>
    <row r="132" spans="1:9" ht="24.75" customHeight="1">
      <c r="A132" s="38" t="s">
        <v>117</v>
      </c>
      <c r="B132" s="42"/>
      <c r="C132" s="42"/>
      <c r="D132" s="43">
        <v>221</v>
      </c>
      <c r="E132" s="103">
        <f>5000-4500</f>
        <v>500</v>
      </c>
      <c r="F132" s="89" t="s">
        <v>73</v>
      </c>
      <c r="G132" s="45"/>
      <c r="H132" s="62"/>
      <c r="I132" s="88"/>
    </row>
    <row r="133" spans="1:9" ht="62.25" customHeight="1">
      <c r="A133" s="38" t="s">
        <v>216</v>
      </c>
      <c r="B133" s="42"/>
      <c r="C133" s="42"/>
      <c r="D133" s="43">
        <v>221</v>
      </c>
      <c r="E133" s="103">
        <v>4500</v>
      </c>
      <c r="F133" s="89" t="s">
        <v>73</v>
      </c>
      <c r="G133" s="45"/>
      <c r="H133" s="62" t="s">
        <v>217</v>
      </c>
      <c r="I133" s="88" t="s">
        <v>375</v>
      </c>
    </row>
    <row r="134" spans="1:9" ht="24.75" customHeight="1">
      <c r="A134" s="38" t="s">
        <v>118</v>
      </c>
      <c r="B134" s="42"/>
      <c r="C134" s="42"/>
      <c r="D134" s="43">
        <v>225</v>
      </c>
      <c r="E134" s="103">
        <f>9520-8576.46</f>
        <v>943.5400000000009</v>
      </c>
      <c r="F134" s="89" t="s">
        <v>73</v>
      </c>
      <c r="G134" s="45"/>
      <c r="H134" s="62"/>
      <c r="I134" s="88"/>
    </row>
    <row r="135" spans="1:9" ht="69" customHeight="1">
      <c r="A135" s="38" t="s">
        <v>213</v>
      </c>
      <c r="B135" s="42"/>
      <c r="C135" s="42"/>
      <c r="D135" s="43">
        <v>225</v>
      </c>
      <c r="E135" s="103">
        <v>8576.46</v>
      </c>
      <c r="F135" s="89" t="s">
        <v>73</v>
      </c>
      <c r="G135" s="45"/>
      <c r="H135" s="62" t="s">
        <v>212</v>
      </c>
      <c r="I135" s="88"/>
    </row>
    <row r="136" spans="1:9" ht="49.5" customHeight="1">
      <c r="A136" s="38" t="s">
        <v>119</v>
      </c>
      <c r="B136" s="42"/>
      <c r="C136" s="42"/>
      <c r="D136" s="43">
        <v>226</v>
      </c>
      <c r="E136" s="103">
        <v>30000</v>
      </c>
      <c r="F136" s="89" t="s">
        <v>73</v>
      </c>
      <c r="G136" s="45"/>
      <c r="H136" s="62" t="s">
        <v>192</v>
      </c>
      <c r="I136" s="88" t="s">
        <v>375</v>
      </c>
    </row>
    <row r="137" spans="1:9" ht="24.75" customHeight="1">
      <c r="A137" s="38" t="s">
        <v>120</v>
      </c>
      <c r="B137" s="42"/>
      <c r="C137" s="42"/>
      <c r="D137" s="43">
        <v>226</v>
      </c>
      <c r="E137" s="103">
        <f>80915-33140-1500-1525-40274.1</f>
        <v>4475.9000000000015</v>
      </c>
      <c r="F137" s="89" t="s">
        <v>73</v>
      </c>
      <c r="G137" s="45"/>
      <c r="H137" s="62"/>
      <c r="I137" s="88"/>
    </row>
    <row r="138" spans="1:9" ht="80.25" customHeight="1">
      <c r="A138" s="38" t="s">
        <v>224</v>
      </c>
      <c r="B138" s="42"/>
      <c r="C138" s="42"/>
      <c r="D138" s="43">
        <v>226</v>
      </c>
      <c r="E138" s="103">
        <v>40274.1</v>
      </c>
      <c r="F138" s="89" t="s">
        <v>73</v>
      </c>
      <c r="G138" s="45"/>
      <c r="H138" s="62" t="s">
        <v>223</v>
      </c>
      <c r="I138" s="88"/>
    </row>
    <row r="139" spans="1:9" ht="53.25" customHeight="1">
      <c r="A139" s="38" t="s">
        <v>221</v>
      </c>
      <c r="B139" s="42"/>
      <c r="C139" s="42"/>
      <c r="D139" s="43">
        <v>226</v>
      </c>
      <c r="E139" s="103">
        <v>1525</v>
      </c>
      <c r="F139" s="89" t="s">
        <v>73</v>
      </c>
      <c r="G139" s="45"/>
      <c r="H139" s="62" t="s">
        <v>222</v>
      </c>
      <c r="I139" s="88"/>
    </row>
    <row r="140" spans="1:9" ht="41.25" customHeight="1">
      <c r="A140" s="38" t="s">
        <v>218</v>
      </c>
      <c r="B140" s="42"/>
      <c r="C140" s="42"/>
      <c r="D140" s="43">
        <v>226</v>
      </c>
      <c r="E140" s="103">
        <v>1500</v>
      </c>
      <c r="F140" s="89" t="s">
        <v>73</v>
      </c>
      <c r="G140" s="45"/>
      <c r="H140" s="62" t="s">
        <v>217</v>
      </c>
      <c r="I140" s="88" t="s">
        <v>375</v>
      </c>
    </row>
    <row r="141" spans="1:9" ht="53.25" customHeight="1">
      <c r="A141" s="38" t="s">
        <v>201</v>
      </c>
      <c r="B141" s="42"/>
      <c r="C141" s="42"/>
      <c r="D141" s="43">
        <v>226</v>
      </c>
      <c r="E141" s="103">
        <v>33140</v>
      </c>
      <c r="F141" s="89" t="s">
        <v>73</v>
      </c>
      <c r="G141" s="45"/>
      <c r="H141" s="62" t="s">
        <v>200</v>
      </c>
      <c r="I141" s="88" t="s">
        <v>375</v>
      </c>
    </row>
    <row r="142" spans="1:9" ht="24.75" customHeight="1">
      <c r="A142" s="104" t="s">
        <v>121</v>
      </c>
      <c r="B142" s="42"/>
      <c r="C142" s="42"/>
      <c r="D142" s="42"/>
      <c r="E142" s="105"/>
      <c r="F142" s="106"/>
      <c r="G142" s="107"/>
      <c r="H142" s="50"/>
      <c r="I142" s="88"/>
    </row>
    <row r="143" spans="1:9" ht="24.75" customHeight="1">
      <c r="A143" s="194" t="s">
        <v>352</v>
      </c>
      <c r="B143" s="190" t="s">
        <v>112</v>
      </c>
      <c r="C143" s="191"/>
      <c r="D143" s="43">
        <v>225</v>
      </c>
      <c r="E143" s="103">
        <f>960000-226111.17</f>
        <v>733888.83</v>
      </c>
      <c r="F143" s="203" t="s">
        <v>111</v>
      </c>
      <c r="G143" s="45"/>
      <c r="H143" s="226" t="s">
        <v>351</v>
      </c>
      <c r="I143" s="167" t="s">
        <v>375</v>
      </c>
    </row>
    <row r="144" spans="1:9" ht="24.75" customHeight="1">
      <c r="A144" s="195"/>
      <c r="B144" s="190" t="s">
        <v>113</v>
      </c>
      <c r="C144" s="191"/>
      <c r="D144" s="2">
        <v>225</v>
      </c>
      <c r="E144" s="108">
        <f>50526.32-11900.59</f>
        <v>38625.729999999996</v>
      </c>
      <c r="F144" s="205"/>
      <c r="G144" s="46"/>
      <c r="H144" s="228"/>
      <c r="I144" s="168"/>
    </row>
    <row r="145" spans="1:9" ht="24.75" customHeight="1">
      <c r="A145" s="49" t="s">
        <v>350</v>
      </c>
      <c r="B145" s="190" t="s">
        <v>112</v>
      </c>
      <c r="C145" s="191"/>
      <c r="D145" s="43">
        <v>225</v>
      </c>
      <c r="E145" s="108">
        <v>226111.17</v>
      </c>
      <c r="F145" s="192" t="s">
        <v>73</v>
      </c>
      <c r="G145" s="46"/>
      <c r="H145" s="63"/>
      <c r="I145" s="169" t="s">
        <v>375</v>
      </c>
    </row>
    <row r="146" spans="1:9" ht="24.75" customHeight="1">
      <c r="A146" s="49" t="s">
        <v>350</v>
      </c>
      <c r="B146" s="190" t="s">
        <v>113</v>
      </c>
      <c r="C146" s="191"/>
      <c r="D146" s="2">
        <v>225</v>
      </c>
      <c r="E146" s="108">
        <v>11900.59</v>
      </c>
      <c r="F146" s="193"/>
      <c r="G146" s="46"/>
      <c r="H146" s="63"/>
      <c r="I146" s="170"/>
    </row>
    <row r="147" spans="1:9" ht="24.75" customHeight="1">
      <c r="A147" s="109" t="s">
        <v>167</v>
      </c>
      <c r="B147" s="50"/>
      <c r="C147" s="51"/>
      <c r="D147" s="4"/>
      <c r="E147" s="101"/>
      <c r="F147" s="110"/>
      <c r="G147" s="111"/>
      <c r="H147" s="112"/>
      <c r="I147" s="113"/>
    </row>
    <row r="148" spans="1:9" ht="31.5" customHeight="1">
      <c r="A148" s="49" t="s">
        <v>168</v>
      </c>
      <c r="B148" s="50"/>
      <c r="C148" s="51"/>
      <c r="D148" s="2">
        <v>310</v>
      </c>
      <c r="E148" s="108">
        <v>27980</v>
      </c>
      <c r="F148" s="89" t="s">
        <v>73</v>
      </c>
      <c r="G148" s="46"/>
      <c r="H148" s="63" t="s">
        <v>214</v>
      </c>
      <c r="I148" s="88" t="s">
        <v>375</v>
      </c>
    </row>
    <row r="149" spans="1:9" ht="24.75" customHeight="1">
      <c r="A149" s="49" t="s">
        <v>293</v>
      </c>
      <c r="B149" s="50"/>
      <c r="C149" s="51"/>
      <c r="D149" s="2">
        <v>346</v>
      </c>
      <c r="E149" s="108">
        <v>40000</v>
      </c>
      <c r="F149" s="89" t="s">
        <v>73</v>
      </c>
      <c r="G149" s="46"/>
      <c r="H149" s="63"/>
      <c r="I149" s="88" t="s">
        <v>375</v>
      </c>
    </row>
    <row r="150" spans="1:9" ht="24.75" customHeight="1">
      <c r="A150" s="49" t="s">
        <v>343</v>
      </c>
      <c r="B150" s="50"/>
      <c r="C150" s="51"/>
      <c r="D150" s="2">
        <v>225</v>
      </c>
      <c r="E150" s="108">
        <v>190048</v>
      </c>
      <c r="F150" s="89" t="s">
        <v>73</v>
      </c>
      <c r="G150" s="46"/>
      <c r="H150" s="63" t="s">
        <v>373</v>
      </c>
      <c r="I150" s="88"/>
    </row>
    <row r="151" spans="1:9" ht="24.75" customHeight="1">
      <c r="A151" s="49" t="s">
        <v>344</v>
      </c>
      <c r="B151" s="50"/>
      <c r="C151" s="51"/>
      <c r="D151" s="2">
        <v>225</v>
      </c>
      <c r="E151" s="108">
        <v>133191</v>
      </c>
      <c r="F151" s="89" t="s">
        <v>73</v>
      </c>
      <c r="G151" s="46"/>
      <c r="H151" s="63"/>
      <c r="I151" s="88"/>
    </row>
    <row r="152" spans="1:9" ht="28.5" customHeight="1">
      <c r="A152" s="49" t="s">
        <v>345</v>
      </c>
      <c r="B152" s="50"/>
      <c r="C152" s="51"/>
      <c r="D152" s="2">
        <v>225</v>
      </c>
      <c r="E152" s="108">
        <v>38565</v>
      </c>
      <c r="F152" s="89" t="s">
        <v>73</v>
      </c>
      <c r="G152" s="46"/>
      <c r="H152" s="63" t="s">
        <v>366</v>
      </c>
      <c r="I152" s="88" t="s">
        <v>375</v>
      </c>
    </row>
    <row r="153" spans="1:9" ht="24.75" customHeight="1">
      <c r="A153" s="194" t="s">
        <v>346</v>
      </c>
      <c r="B153" s="50"/>
      <c r="C153" s="51"/>
      <c r="D153" s="2">
        <v>226</v>
      </c>
      <c r="E153" s="108">
        <v>75675</v>
      </c>
      <c r="F153" s="89" t="s">
        <v>73</v>
      </c>
      <c r="G153" s="46"/>
      <c r="H153" s="226" t="s">
        <v>368</v>
      </c>
      <c r="I153" s="88"/>
    </row>
    <row r="154" spans="1:9" ht="24.75" customHeight="1">
      <c r="A154" s="195"/>
      <c r="B154" s="50" t="s">
        <v>38</v>
      </c>
      <c r="C154" s="51"/>
      <c r="D154" s="2">
        <v>226</v>
      </c>
      <c r="E154" s="108">
        <v>13958</v>
      </c>
      <c r="F154" s="89" t="s">
        <v>73</v>
      </c>
      <c r="G154" s="46"/>
      <c r="H154" s="228"/>
      <c r="I154" s="88"/>
    </row>
    <row r="155" spans="1:9" ht="32.25" customHeight="1">
      <c r="A155" s="49" t="s">
        <v>347</v>
      </c>
      <c r="B155" s="50"/>
      <c r="C155" s="51"/>
      <c r="D155" s="2">
        <v>226</v>
      </c>
      <c r="E155" s="108">
        <v>151635</v>
      </c>
      <c r="F155" s="89" t="s">
        <v>73</v>
      </c>
      <c r="G155" s="46"/>
      <c r="H155" s="63" t="s">
        <v>361</v>
      </c>
      <c r="I155" s="88" t="s">
        <v>375</v>
      </c>
    </row>
    <row r="156" spans="1:9" ht="24.75" customHeight="1">
      <c r="A156" s="49" t="s">
        <v>348</v>
      </c>
      <c r="B156" s="50"/>
      <c r="C156" s="51"/>
      <c r="D156" s="2">
        <v>226</v>
      </c>
      <c r="E156" s="108">
        <v>455712</v>
      </c>
      <c r="F156" s="89" t="s">
        <v>73</v>
      </c>
      <c r="G156" s="46"/>
      <c r="H156" s="63"/>
      <c r="I156" s="88"/>
    </row>
    <row r="157" spans="1:9" ht="24.75" customHeight="1">
      <c r="A157" s="109"/>
      <c r="B157" s="50"/>
      <c r="C157" s="51"/>
      <c r="D157" s="4"/>
      <c r="E157" s="101"/>
      <c r="F157" s="110"/>
      <c r="G157" s="111"/>
      <c r="H157" s="112"/>
      <c r="I157" s="88"/>
    </row>
    <row r="158" spans="1:9" ht="32.25" customHeight="1">
      <c r="A158" s="200" t="s">
        <v>197</v>
      </c>
      <c r="B158" s="50" t="s">
        <v>169</v>
      </c>
      <c r="C158" s="51"/>
      <c r="D158" s="2">
        <v>310</v>
      </c>
      <c r="E158" s="108">
        <f>1042270.98-11595.65-116251.67-49387.35-842388.82</f>
        <v>22647.48999999999</v>
      </c>
      <c r="F158" s="231" t="s">
        <v>292</v>
      </c>
      <c r="G158" s="46"/>
      <c r="H158" s="63"/>
      <c r="I158" s="175" t="s">
        <v>375</v>
      </c>
    </row>
    <row r="159" spans="1:9" ht="28.5" customHeight="1">
      <c r="A159" s="201"/>
      <c r="B159" s="50" t="s">
        <v>170</v>
      </c>
      <c r="C159" s="51"/>
      <c r="D159" s="2">
        <v>310</v>
      </c>
      <c r="E159" s="108">
        <f>513357.29-5711.29-57258.28-24325.12-414907.95</f>
        <v>11154.649999999965</v>
      </c>
      <c r="F159" s="232"/>
      <c r="G159" s="46"/>
      <c r="H159" s="63"/>
      <c r="I159" s="176"/>
    </row>
    <row r="160" spans="1:9" ht="30.75" customHeight="1">
      <c r="A160" s="202"/>
      <c r="B160" s="50" t="s">
        <v>171</v>
      </c>
      <c r="C160" s="51"/>
      <c r="D160" s="2">
        <v>310</v>
      </c>
      <c r="E160" s="108">
        <f>192268.67-2139.06-21445.05-9110.53-155396.23</f>
        <v>4177.8000000000175</v>
      </c>
      <c r="F160" s="233"/>
      <c r="G160" s="46"/>
      <c r="H160" s="63"/>
      <c r="I160" s="177"/>
    </row>
    <row r="161" spans="1:9" ht="32.25" customHeight="1">
      <c r="A161" s="247" t="s">
        <v>197</v>
      </c>
      <c r="B161" s="50" t="s">
        <v>169</v>
      </c>
      <c r="C161" s="51"/>
      <c r="D161" s="2">
        <v>310</v>
      </c>
      <c r="E161" s="108">
        <f>842388.82-8423.84</f>
        <v>833964.98</v>
      </c>
      <c r="F161" s="203" t="s">
        <v>292</v>
      </c>
      <c r="G161" s="46"/>
      <c r="H161" s="226" t="s">
        <v>290</v>
      </c>
      <c r="I161" s="167" t="s">
        <v>375</v>
      </c>
    </row>
    <row r="162" spans="1:9" ht="28.5" customHeight="1">
      <c r="A162" s="247"/>
      <c r="B162" s="50" t="s">
        <v>170</v>
      </c>
      <c r="C162" s="51"/>
      <c r="D162" s="2">
        <v>310</v>
      </c>
      <c r="E162" s="108">
        <f>414907.95-4149.13</f>
        <v>410758.82</v>
      </c>
      <c r="F162" s="204"/>
      <c r="G162" s="46"/>
      <c r="H162" s="227"/>
      <c r="I162" s="171"/>
    </row>
    <row r="163" spans="1:9" ht="30.75" customHeight="1">
      <c r="A163" s="247"/>
      <c r="B163" s="50" t="s">
        <v>171</v>
      </c>
      <c r="C163" s="51"/>
      <c r="D163" s="2">
        <v>310</v>
      </c>
      <c r="E163" s="108">
        <f>155396.23-1553.96</f>
        <v>153842.27000000002</v>
      </c>
      <c r="F163" s="204"/>
      <c r="G163" s="46"/>
      <c r="H163" s="227"/>
      <c r="I163" s="171"/>
    </row>
    <row r="164" spans="1:9" ht="30.75" customHeight="1">
      <c r="A164" s="247"/>
      <c r="B164" s="50" t="s">
        <v>169</v>
      </c>
      <c r="C164" s="51"/>
      <c r="D164" s="2">
        <v>346</v>
      </c>
      <c r="E164" s="108">
        <f>49387.35-493.87</f>
        <v>48893.479999999996</v>
      </c>
      <c r="F164" s="204"/>
      <c r="G164" s="46"/>
      <c r="H164" s="227"/>
      <c r="I164" s="171"/>
    </row>
    <row r="165" spans="1:9" ht="30.75" customHeight="1">
      <c r="A165" s="247"/>
      <c r="B165" s="50" t="s">
        <v>170</v>
      </c>
      <c r="C165" s="51"/>
      <c r="D165" s="2">
        <v>346</v>
      </c>
      <c r="E165" s="108">
        <f>24325.12-243.26</f>
        <v>24081.86</v>
      </c>
      <c r="F165" s="204"/>
      <c r="G165" s="46"/>
      <c r="H165" s="227"/>
      <c r="I165" s="171"/>
    </row>
    <row r="166" spans="1:9" ht="30.75" customHeight="1">
      <c r="A166" s="247"/>
      <c r="B166" s="50" t="s">
        <v>171</v>
      </c>
      <c r="C166" s="51"/>
      <c r="D166" s="2">
        <v>346</v>
      </c>
      <c r="E166" s="108">
        <f>9110.53-91.1</f>
        <v>9019.43</v>
      </c>
      <c r="F166" s="205"/>
      <c r="G166" s="46"/>
      <c r="H166" s="228"/>
      <c r="I166" s="168"/>
    </row>
    <row r="167" spans="1:9" ht="30.75" customHeight="1">
      <c r="A167" s="200" t="s">
        <v>289</v>
      </c>
      <c r="B167" s="50" t="s">
        <v>169</v>
      </c>
      <c r="C167" s="51"/>
      <c r="D167" s="2">
        <v>310</v>
      </c>
      <c r="E167" s="108">
        <v>8423.84</v>
      </c>
      <c r="F167" s="203" t="s">
        <v>111</v>
      </c>
      <c r="G167" s="46"/>
      <c r="H167" s="64"/>
      <c r="I167" s="167" t="s">
        <v>375</v>
      </c>
    </row>
    <row r="168" spans="1:9" ht="30.75" customHeight="1">
      <c r="A168" s="201"/>
      <c r="B168" s="50" t="s">
        <v>170</v>
      </c>
      <c r="C168" s="51"/>
      <c r="D168" s="2">
        <v>310</v>
      </c>
      <c r="E168" s="108">
        <v>4149.13</v>
      </c>
      <c r="F168" s="204"/>
      <c r="G168" s="46"/>
      <c r="H168" s="64"/>
      <c r="I168" s="171"/>
    </row>
    <row r="169" spans="1:9" ht="30.75" customHeight="1">
      <c r="A169" s="202"/>
      <c r="B169" s="50" t="s">
        <v>171</v>
      </c>
      <c r="C169" s="51"/>
      <c r="D169" s="2">
        <v>310</v>
      </c>
      <c r="E169" s="108">
        <v>1553.96</v>
      </c>
      <c r="F169" s="204"/>
      <c r="G169" s="46"/>
      <c r="H169" s="64"/>
      <c r="I169" s="171"/>
    </row>
    <row r="170" spans="1:9" ht="30.75" customHeight="1">
      <c r="A170" s="200" t="s">
        <v>289</v>
      </c>
      <c r="B170" s="50" t="s">
        <v>169</v>
      </c>
      <c r="C170" s="51"/>
      <c r="D170" s="2">
        <v>346</v>
      </c>
      <c r="E170" s="108">
        <v>493.87</v>
      </c>
      <c r="F170" s="204"/>
      <c r="G170" s="46"/>
      <c r="H170" s="64"/>
      <c r="I170" s="171"/>
    </row>
    <row r="171" spans="1:9" ht="30.75" customHeight="1">
      <c r="A171" s="201"/>
      <c r="B171" s="50" t="s">
        <v>170</v>
      </c>
      <c r="C171" s="51"/>
      <c r="D171" s="2">
        <v>346</v>
      </c>
      <c r="E171" s="108">
        <v>243.26</v>
      </c>
      <c r="F171" s="204"/>
      <c r="G171" s="46"/>
      <c r="H171" s="64"/>
      <c r="I171" s="171"/>
    </row>
    <row r="172" spans="1:9" ht="30.75" customHeight="1">
      <c r="A172" s="202"/>
      <c r="B172" s="50" t="s">
        <v>171</v>
      </c>
      <c r="C172" s="51"/>
      <c r="D172" s="2">
        <v>346</v>
      </c>
      <c r="E172" s="108">
        <v>91.1</v>
      </c>
      <c r="F172" s="205"/>
      <c r="G172" s="46"/>
      <c r="H172" s="64"/>
      <c r="I172" s="168"/>
    </row>
    <row r="173" spans="1:9" ht="32.25" customHeight="1">
      <c r="A173" s="184" t="s">
        <v>196</v>
      </c>
      <c r="B173" s="50" t="s">
        <v>169</v>
      </c>
      <c r="C173" s="51"/>
      <c r="D173" s="2">
        <v>310</v>
      </c>
      <c r="E173" s="108">
        <f>11595.65-2697.84</f>
        <v>8897.81</v>
      </c>
      <c r="F173" s="203" t="s">
        <v>111</v>
      </c>
      <c r="G173" s="244" t="s">
        <v>335</v>
      </c>
      <c r="H173" s="226" t="s">
        <v>277</v>
      </c>
      <c r="I173" s="167" t="s">
        <v>375</v>
      </c>
    </row>
    <row r="174" spans="1:9" ht="28.5" customHeight="1">
      <c r="A174" s="185"/>
      <c r="B174" s="50" t="s">
        <v>170</v>
      </c>
      <c r="C174" s="51"/>
      <c r="D174" s="2">
        <v>310</v>
      </c>
      <c r="E174" s="108">
        <f>5711.29-1328.79+0.01</f>
        <v>4382.51</v>
      </c>
      <c r="F174" s="204"/>
      <c r="G174" s="245"/>
      <c r="H174" s="227"/>
      <c r="I174" s="171"/>
    </row>
    <row r="175" spans="1:9" ht="30.75" customHeight="1">
      <c r="A175" s="186"/>
      <c r="B175" s="50" t="s">
        <v>171</v>
      </c>
      <c r="C175" s="51"/>
      <c r="D175" s="2">
        <v>310</v>
      </c>
      <c r="E175" s="108">
        <f>2139.06-497.66-0.01</f>
        <v>1641.3899999999999</v>
      </c>
      <c r="F175" s="205"/>
      <c r="G175" s="246"/>
      <c r="H175" s="228"/>
      <c r="I175" s="168"/>
    </row>
    <row r="176" spans="1:9" ht="30.75" customHeight="1">
      <c r="A176" s="114"/>
      <c r="B176" s="50" t="s">
        <v>169</v>
      </c>
      <c r="C176" s="51"/>
      <c r="D176" s="2">
        <v>310</v>
      </c>
      <c r="E176" s="108">
        <v>2697.84</v>
      </c>
      <c r="F176" s="203" t="s">
        <v>111</v>
      </c>
      <c r="G176" s="46"/>
      <c r="H176" s="63"/>
      <c r="I176" s="167" t="s">
        <v>375</v>
      </c>
    </row>
    <row r="177" spans="1:9" ht="30.75" customHeight="1">
      <c r="A177" s="114" t="s">
        <v>278</v>
      </c>
      <c r="B177" s="50" t="s">
        <v>170</v>
      </c>
      <c r="C177" s="51"/>
      <c r="D177" s="2">
        <v>310</v>
      </c>
      <c r="E177" s="108">
        <f>1328.79-0.01</f>
        <v>1328.78</v>
      </c>
      <c r="F177" s="204"/>
      <c r="G177" s="46"/>
      <c r="H177" s="63"/>
      <c r="I177" s="171"/>
    </row>
    <row r="178" spans="1:9" ht="30.75" customHeight="1">
      <c r="A178" s="114"/>
      <c r="B178" s="50" t="s">
        <v>171</v>
      </c>
      <c r="C178" s="51"/>
      <c r="D178" s="2">
        <v>310</v>
      </c>
      <c r="E178" s="108">
        <f>497.66+0.01</f>
        <v>497.67</v>
      </c>
      <c r="F178" s="205"/>
      <c r="G178" s="46"/>
      <c r="H178" s="63"/>
      <c r="I178" s="168"/>
    </row>
    <row r="179" spans="1:9" ht="32.25" customHeight="1">
      <c r="A179" s="184" t="s">
        <v>195</v>
      </c>
      <c r="B179" s="50" t="s">
        <v>169</v>
      </c>
      <c r="C179" s="51"/>
      <c r="D179" s="2">
        <v>310</v>
      </c>
      <c r="E179" s="108">
        <v>116251.67</v>
      </c>
      <c r="F179" s="203" t="s">
        <v>111</v>
      </c>
      <c r="G179" s="46"/>
      <c r="H179" s="226" t="s">
        <v>286</v>
      </c>
      <c r="I179" s="167" t="s">
        <v>375</v>
      </c>
    </row>
    <row r="180" spans="1:9" ht="28.5" customHeight="1">
      <c r="A180" s="185"/>
      <c r="B180" s="50" t="s">
        <v>170</v>
      </c>
      <c r="C180" s="51"/>
      <c r="D180" s="2">
        <v>310</v>
      </c>
      <c r="E180" s="108">
        <v>57258.28</v>
      </c>
      <c r="F180" s="204"/>
      <c r="G180" s="46"/>
      <c r="H180" s="227"/>
      <c r="I180" s="171"/>
    </row>
    <row r="181" spans="1:9" ht="30.75" customHeight="1">
      <c r="A181" s="186"/>
      <c r="B181" s="50" t="s">
        <v>171</v>
      </c>
      <c r="C181" s="51"/>
      <c r="D181" s="2">
        <v>310</v>
      </c>
      <c r="E181" s="108">
        <v>21445.05</v>
      </c>
      <c r="F181" s="205"/>
      <c r="G181" s="46"/>
      <c r="H181" s="228"/>
      <c r="I181" s="168"/>
    </row>
    <row r="182" spans="1:9" ht="30.75" customHeight="1">
      <c r="A182" s="74"/>
      <c r="B182" s="50"/>
      <c r="C182" s="51"/>
      <c r="D182" s="4"/>
      <c r="E182" s="101"/>
      <c r="F182" s="110"/>
      <c r="G182" s="111"/>
      <c r="H182" s="112"/>
      <c r="I182" s="88"/>
    </row>
    <row r="183" spans="1:9" ht="30.75" customHeight="1">
      <c r="A183" s="184" t="s">
        <v>327</v>
      </c>
      <c r="B183" s="50" t="s">
        <v>172</v>
      </c>
      <c r="C183" s="51"/>
      <c r="D183" s="2">
        <v>225</v>
      </c>
      <c r="E183" s="108">
        <f>1489800-494587.24-396940-236515.35</f>
        <v>361757.41000000003</v>
      </c>
      <c r="F183" s="89" t="s">
        <v>73</v>
      </c>
      <c r="G183" s="46"/>
      <c r="H183" s="182" t="s">
        <v>328</v>
      </c>
      <c r="I183" s="167" t="s">
        <v>375</v>
      </c>
    </row>
    <row r="184" spans="1:9" ht="33.75" customHeight="1">
      <c r="A184" s="186"/>
      <c r="B184" s="50" t="s">
        <v>173</v>
      </c>
      <c r="C184" s="10"/>
      <c r="D184" s="10">
        <v>225</v>
      </c>
      <c r="E184" s="93">
        <f>184132.58-61128.76-49060-29232.23</f>
        <v>44711.58999999998</v>
      </c>
      <c r="F184" s="89" t="s">
        <v>73</v>
      </c>
      <c r="G184" s="18"/>
      <c r="H184" s="183"/>
      <c r="I184" s="168"/>
    </row>
    <row r="185" spans="1:9" ht="33.75" customHeight="1">
      <c r="A185" s="184" t="s">
        <v>325</v>
      </c>
      <c r="B185" s="50" t="s">
        <v>172</v>
      </c>
      <c r="C185" s="51"/>
      <c r="D185" s="2">
        <v>225</v>
      </c>
      <c r="E185" s="93">
        <v>236515.35</v>
      </c>
      <c r="F185" s="178" t="s">
        <v>73</v>
      </c>
      <c r="G185" s="18"/>
      <c r="H185" s="180" t="s">
        <v>329</v>
      </c>
      <c r="I185" s="167" t="s">
        <v>375</v>
      </c>
    </row>
    <row r="186" spans="1:9" ht="33.75" customHeight="1">
      <c r="A186" s="186"/>
      <c r="B186" s="50" t="s">
        <v>173</v>
      </c>
      <c r="C186" s="10"/>
      <c r="D186" s="10">
        <v>225</v>
      </c>
      <c r="E186" s="93">
        <v>29232.23</v>
      </c>
      <c r="F186" s="179"/>
      <c r="G186" s="18"/>
      <c r="H186" s="181"/>
      <c r="I186" s="168"/>
    </row>
    <row r="187" spans="1:9" ht="33.75" customHeight="1">
      <c r="A187" s="184" t="s">
        <v>323</v>
      </c>
      <c r="B187" s="50" t="s">
        <v>172</v>
      </c>
      <c r="C187" s="51"/>
      <c r="D187" s="2">
        <v>225</v>
      </c>
      <c r="E187" s="93">
        <v>396940</v>
      </c>
      <c r="F187" s="178" t="s">
        <v>73</v>
      </c>
      <c r="G187" s="18"/>
      <c r="H187" s="180" t="s">
        <v>324</v>
      </c>
      <c r="I187" s="167" t="s">
        <v>375</v>
      </c>
    </row>
    <row r="188" spans="1:9" ht="33.75" customHeight="1">
      <c r="A188" s="186"/>
      <c r="B188" s="50" t="s">
        <v>173</v>
      </c>
      <c r="C188" s="10"/>
      <c r="D188" s="10">
        <v>225</v>
      </c>
      <c r="E188" s="93">
        <v>49060</v>
      </c>
      <c r="F188" s="179"/>
      <c r="G188" s="18"/>
      <c r="H188" s="181"/>
      <c r="I188" s="168"/>
    </row>
    <row r="189" spans="1:9" ht="33.75" customHeight="1">
      <c r="A189" s="184" t="s">
        <v>309</v>
      </c>
      <c r="B189" s="50" t="s">
        <v>172</v>
      </c>
      <c r="C189" s="51"/>
      <c r="D189" s="2">
        <v>225</v>
      </c>
      <c r="E189" s="93">
        <v>494587.24</v>
      </c>
      <c r="F189" s="178" t="s">
        <v>73</v>
      </c>
      <c r="G189" s="18"/>
      <c r="H189" s="180" t="s">
        <v>308</v>
      </c>
      <c r="I189" s="167"/>
    </row>
    <row r="190" spans="1:9" ht="33.75" customHeight="1">
      <c r="A190" s="186"/>
      <c r="B190" s="50" t="s">
        <v>173</v>
      </c>
      <c r="C190" s="10"/>
      <c r="D190" s="10">
        <v>225</v>
      </c>
      <c r="E190" s="93">
        <v>61128.76</v>
      </c>
      <c r="F190" s="179"/>
      <c r="G190" s="18"/>
      <c r="H190" s="181"/>
      <c r="I190" s="168"/>
    </row>
    <row r="191" spans="1:9" ht="33.75" customHeight="1">
      <c r="A191" s="184" t="s">
        <v>374</v>
      </c>
      <c r="B191" s="50" t="s">
        <v>172</v>
      </c>
      <c r="C191" s="51"/>
      <c r="D191" s="2">
        <v>225</v>
      </c>
      <c r="E191" s="93">
        <v>111202.44</v>
      </c>
      <c r="F191" s="178" t="s">
        <v>91</v>
      </c>
      <c r="G191" s="18"/>
      <c r="H191" s="65"/>
      <c r="I191" s="115"/>
    </row>
    <row r="192" spans="1:9" ht="33.75" customHeight="1">
      <c r="A192" s="186"/>
      <c r="B192" s="50" t="s">
        <v>173</v>
      </c>
      <c r="C192" s="10"/>
      <c r="D192" s="10">
        <v>225</v>
      </c>
      <c r="E192" s="93">
        <v>13744.12</v>
      </c>
      <c r="F192" s="179"/>
      <c r="G192" s="18"/>
      <c r="H192" s="65"/>
      <c r="I192" s="115"/>
    </row>
    <row r="193" spans="1:9" ht="33.75" customHeight="1">
      <c r="A193" s="11"/>
      <c r="B193" s="50"/>
      <c r="C193" s="10"/>
      <c r="D193" s="10"/>
      <c r="E193" s="93"/>
      <c r="F193" s="116"/>
      <c r="G193" s="18"/>
      <c r="H193" s="60"/>
      <c r="I193" s="88"/>
    </row>
    <row r="194" spans="1:9" ht="33.75" customHeight="1">
      <c r="A194" s="15" t="s">
        <v>208</v>
      </c>
      <c r="B194" s="50" t="s">
        <v>174</v>
      </c>
      <c r="C194" s="10"/>
      <c r="D194" s="10">
        <v>226</v>
      </c>
      <c r="E194" s="93">
        <v>106800</v>
      </c>
      <c r="F194" s="89" t="s">
        <v>73</v>
      </c>
      <c r="G194" s="18"/>
      <c r="H194" s="180" t="s">
        <v>207</v>
      </c>
      <c r="I194" s="88"/>
    </row>
    <row r="195" spans="1:9" ht="38.25" customHeight="1">
      <c r="A195" s="15" t="s">
        <v>209</v>
      </c>
      <c r="B195" s="50" t="s">
        <v>175</v>
      </c>
      <c r="C195" s="10"/>
      <c r="D195" s="10">
        <v>226</v>
      </c>
      <c r="E195" s="93">
        <v>13200</v>
      </c>
      <c r="F195" s="89" t="s">
        <v>73</v>
      </c>
      <c r="G195" s="18"/>
      <c r="H195" s="181"/>
      <c r="I195" s="88"/>
    </row>
    <row r="196" spans="1:9" ht="24.75" customHeight="1">
      <c r="A196" s="117" t="s">
        <v>190</v>
      </c>
      <c r="B196" s="50"/>
      <c r="C196" s="10"/>
      <c r="D196" s="10"/>
      <c r="E196" s="93"/>
      <c r="F196" s="116"/>
      <c r="G196" s="18"/>
      <c r="H196" s="60"/>
      <c r="I196" s="88"/>
    </row>
    <row r="197" spans="1:9" ht="20.25" customHeight="1">
      <c r="A197" s="15" t="s">
        <v>291</v>
      </c>
      <c r="B197" s="50"/>
      <c r="C197" s="10"/>
      <c r="D197" s="10">
        <v>226</v>
      </c>
      <c r="E197" s="93">
        <f>2015-1165</f>
        <v>850</v>
      </c>
      <c r="F197" s="89" t="s">
        <v>73</v>
      </c>
      <c r="G197" s="18"/>
      <c r="H197" s="180" t="s">
        <v>281</v>
      </c>
      <c r="I197" s="118"/>
    </row>
    <row r="198" spans="1:9" ht="21.75" customHeight="1">
      <c r="A198" s="15" t="s">
        <v>279</v>
      </c>
      <c r="B198" s="50"/>
      <c r="C198" s="10"/>
      <c r="D198" s="10">
        <v>342</v>
      </c>
      <c r="E198" s="93">
        <f>5245-1379</f>
        <v>3866</v>
      </c>
      <c r="F198" s="89" t="s">
        <v>73</v>
      </c>
      <c r="G198" s="18"/>
      <c r="H198" s="222"/>
      <c r="I198" s="118"/>
    </row>
    <row r="199" spans="1:9" ht="21.75" customHeight="1">
      <c r="A199" s="15" t="s">
        <v>250</v>
      </c>
      <c r="B199" s="50"/>
      <c r="C199" s="10"/>
      <c r="D199" s="10">
        <v>346</v>
      </c>
      <c r="E199" s="93">
        <f>1040-73</f>
        <v>967</v>
      </c>
      <c r="F199" s="89" t="s">
        <v>73</v>
      </c>
      <c r="G199" s="18"/>
      <c r="H199" s="222"/>
      <c r="I199" s="88"/>
    </row>
    <row r="200" spans="1:9" ht="21.75" customHeight="1">
      <c r="A200" s="15" t="s">
        <v>280</v>
      </c>
      <c r="B200" s="50"/>
      <c r="C200" s="10"/>
      <c r="D200" s="10">
        <v>349</v>
      </c>
      <c r="E200" s="93">
        <f>9700-4950-3300</f>
        <v>1450</v>
      </c>
      <c r="F200" s="89" t="s">
        <v>73</v>
      </c>
      <c r="G200" s="18"/>
      <c r="H200" s="181"/>
      <c r="I200" s="88"/>
    </row>
    <row r="201" spans="1:9" ht="21.75" customHeight="1">
      <c r="A201" s="15"/>
      <c r="B201" s="50"/>
      <c r="C201" s="10"/>
      <c r="D201" s="10">
        <v>346</v>
      </c>
      <c r="E201" s="93">
        <v>73</v>
      </c>
      <c r="F201" s="89" t="s">
        <v>73</v>
      </c>
      <c r="G201" s="18"/>
      <c r="H201" s="60"/>
      <c r="I201" s="88"/>
    </row>
    <row r="202" spans="1:9" ht="21.75" customHeight="1">
      <c r="A202" s="15"/>
      <c r="B202" s="50"/>
      <c r="C202" s="10"/>
      <c r="D202" s="10">
        <v>342</v>
      </c>
      <c r="E202" s="93">
        <v>1379</v>
      </c>
      <c r="F202" s="89" t="s">
        <v>73</v>
      </c>
      <c r="G202" s="18"/>
      <c r="H202" s="60"/>
      <c r="I202" s="88"/>
    </row>
    <row r="203" spans="1:9" ht="21.75" customHeight="1">
      <c r="A203" s="15"/>
      <c r="B203" s="50"/>
      <c r="C203" s="10"/>
      <c r="D203" s="10">
        <v>349</v>
      </c>
      <c r="E203" s="93">
        <v>3300</v>
      </c>
      <c r="F203" s="89" t="s">
        <v>73</v>
      </c>
      <c r="G203" s="18"/>
      <c r="H203" s="60"/>
      <c r="I203" s="88"/>
    </row>
    <row r="204" spans="1:9" ht="21.75" customHeight="1">
      <c r="A204" s="15"/>
      <c r="B204" s="50"/>
      <c r="C204" s="10"/>
      <c r="D204" s="10">
        <v>226</v>
      </c>
      <c r="E204" s="93">
        <v>1165</v>
      </c>
      <c r="F204" s="89" t="s">
        <v>73</v>
      </c>
      <c r="G204" s="18"/>
      <c r="H204" s="60"/>
      <c r="I204" s="88"/>
    </row>
    <row r="205" spans="1:9" ht="33" customHeight="1">
      <c r="A205" s="15" t="s">
        <v>265</v>
      </c>
      <c r="B205" s="50"/>
      <c r="C205" s="10"/>
      <c r="D205" s="10">
        <v>349</v>
      </c>
      <c r="E205" s="93">
        <v>4950</v>
      </c>
      <c r="F205" s="89" t="s">
        <v>73</v>
      </c>
      <c r="G205" s="18"/>
      <c r="H205" s="66" t="s">
        <v>266</v>
      </c>
      <c r="I205" s="88" t="s">
        <v>375</v>
      </c>
    </row>
    <row r="206" spans="1:9" ht="21.75" customHeight="1">
      <c r="A206" s="13" t="s">
        <v>260</v>
      </c>
      <c r="B206" s="50"/>
      <c r="C206" s="52"/>
      <c r="D206" s="52"/>
      <c r="E206" s="119"/>
      <c r="F206" s="120"/>
      <c r="G206" s="121"/>
      <c r="H206" s="122"/>
      <c r="I206" s="88"/>
    </row>
    <row r="207" spans="1:9" ht="21.75" customHeight="1">
      <c r="A207" s="15" t="s">
        <v>262</v>
      </c>
      <c r="B207" s="50"/>
      <c r="C207" s="10"/>
      <c r="D207" s="10">
        <v>225</v>
      </c>
      <c r="E207" s="93">
        <v>10877800</v>
      </c>
      <c r="F207" s="99" t="s">
        <v>263</v>
      </c>
      <c r="G207" s="18"/>
      <c r="H207" s="60"/>
      <c r="I207" s="88"/>
    </row>
    <row r="208" spans="1:9" ht="21.75" customHeight="1">
      <c r="A208" s="13" t="s">
        <v>261</v>
      </c>
      <c r="B208" s="50"/>
      <c r="C208" s="52"/>
      <c r="D208" s="52"/>
      <c r="E208" s="119"/>
      <c r="F208" s="120"/>
      <c r="G208" s="121"/>
      <c r="H208" s="122"/>
      <c r="I208" s="88"/>
    </row>
    <row r="209" spans="1:9" ht="21.75" customHeight="1">
      <c r="A209" s="15" t="s">
        <v>262</v>
      </c>
      <c r="B209" s="50"/>
      <c r="C209" s="10"/>
      <c r="D209" s="10">
        <v>225</v>
      </c>
      <c r="E209" s="93">
        <v>1344447.19</v>
      </c>
      <c r="F209" s="99" t="s">
        <v>91</v>
      </c>
      <c r="G209" s="18"/>
      <c r="H209" s="60"/>
      <c r="I209" s="88"/>
    </row>
    <row r="210" spans="1:9" ht="21.75" customHeight="1">
      <c r="A210" s="86" t="s">
        <v>245</v>
      </c>
      <c r="B210" s="75"/>
      <c r="C210" s="123"/>
      <c r="D210" s="123"/>
      <c r="E210" s="124"/>
      <c r="F210" s="125"/>
      <c r="G210" s="126"/>
      <c r="H210" s="127"/>
      <c r="I210" s="88"/>
    </row>
    <row r="211" spans="1:9" ht="21.75" customHeight="1">
      <c r="A211" s="13" t="s">
        <v>246</v>
      </c>
      <c r="B211" s="50"/>
      <c r="C211" s="52"/>
      <c r="D211" s="52"/>
      <c r="E211" s="119"/>
      <c r="F211" s="120"/>
      <c r="G211" s="121"/>
      <c r="H211" s="122"/>
      <c r="I211" s="88"/>
    </row>
    <row r="212" spans="1:9" ht="26.25" customHeight="1">
      <c r="A212" s="15" t="s">
        <v>247</v>
      </c>
      <c r="B212" s="50"/>
      <c r="C212" s="10"/>
      <c r="D212" s="10">
        <v>226</v>
      </c>
      <c r="E212" s="93">
        <f>40855.5-21400.5</f>
        <v>19455</v>
      </c>
      <c r="F212" s="89" t="s">
        <v>73</v>
      </c>
      <c r="G212" s="18"/>
      <c r="H212" s="66" t="s">
        <v>321</v>
      </c>
      <c r="I212" s="88"/>
    </row>
    <row r="213" spans="1:9" ht="33.75" customHeight="1">
      <c r="A213" s="15" t="s">
        <v>247</v>
      </c>
      <c r="B213" s="50"/>
      <c r="C213" s="10"/>
      <c r="D213" s="10">
        <v>226</v>
      </c>
      <c r="E213" s="93">
        <v>21400.5</v>
      </c>
      <c r="F213" s="89" t="s">
        <v>73</v>
      </c>
      <c r="G213" s="18"/>
      <c r="H213" s="66" t="s">
        <v>320</v>
      </c>
      <c r="I213" s="88"/>
    </row>
    <row r="214" spans="1:9" ht="33.75" customHeight="1">
      <c r="A214" s="15" t="s">
        <v>248</v>
      </c>
      <c r="B214" s="50"/>
      <c r="C214" s="10"/>
      <c r="D214" s="10">
        <v>226</v>
      </c>
      <c r="E214" s="93">
        <v>138434.52</v>
      </c>
      <c r="F214" s="89" t="s">
        <v>73</v>
      </c>
      <c r="G214" s="18"/>
      <c r="H214" s="66" t="s">
        <v>318</v>
      </c>
      <c r="I214" s="88" t="s">
        <v>375</v>
      </c>
    </row>
    <row r="215" spans="1:9" ht="34.5" customHeight="1">
      <c r="A215" s="15" t="s">
        <v>249</v>
      </c>
      <c r="B215" s="50"/>
      <c r="C215" s="10"/>
      <c r="D215" s="10">
        <v>227</v>
      </c>
      <c r="E215" s="93">
        <v>2940</v>
      </c>
      <c r="F215" s="89" t="s">
        <v>73</v>
      </c>
      <c r="G215" s="18"/>
      <c r="H215" s="66" t="s">
        <v>303</v>
      </c>
      <c r="I215" s="88"/>
    </row>
    <row r="216" spans="1:9" ht="34.5" customHeight="1">
      <c r="A216" s="15" t="s">
        <v>33</v>
      </c>
      <c r="B216" s="50"/>
      <c r="C216" s="10"/>
      <c r="D216" s="10">
        <v>341</v>
      </c>
      <c r="E216" s="93">
        <v>3412.5</v>
      </c>
      <c r="F216" s="89" t="s">
        <v>73</v>
      </c>
      <c r="G216" s="18"/>
      <c r="H216" s="66" t="s">
        <v>307</v>
      </c>
      <c r="I216" s="88"/>
    </row>
    <row r="217" spans="1:9" ht="37.5" customHeight="1">
      <c r="A217" s="15" t="s">
        <v>250</v>
      </c>
      <c r="B217" s="50"/>
      <c r="C217" s="10"/>
      <c r="D217" s="10">
        <v>346</v>
      </c>
      <c r="E217" s="93">
        <v>1732.5</v>
      </c>
      <c r="F217" s="89" t="s">
        <v>73</v>
      </c>
      <c r="G217" s="18"/>
      <c r="H217" s="66" t="s">
        <v>311</v>
      </c>
      <c r="I217" s="88"/>
    </row>
    <row r="218" spans="1:9" ht="32.25" customHeight="1">
      <c r="A218" s="15" t="s">
        <v>251</v>
      </c>
      <c r="B218" s="50"/>
      <c r="C218" s="10"/>
      <c r="D218" s="10">
        <v>346</v>
      </c>
      <c r="E218" s="93">
        <v>3412.5</v>
      </c>
      <c r="F218" s="89" t="s">
        <v>73</v>
      </c>
      <c r="G218" s="18"/>
      <c r="H218" s="66" t="s">
        <v>332</v>
      </c>
      <c r="I218" s="88"/>
    </row>
    <row r="219" spans="1:9" ht="21.75" customHeight="1">
      <c r="A219" s="13" t="s">
        <v>252</v>
      </c>
      <c r="B219" s="50"/>
      <c r="C219" s="52"/>
      <c r="D219" s="52"/>
      <c r="E219" s="119"/>
      <c r="F219" s="120"/>
      <c r="G219" s="121"/>
      <c r="H219" s="122"/>
      <c r="I219" s="88"/>
    </row>
    <row r="220" spans="1:9" ht="33.75" customHeight="1">
      <c r="A220" s="15" t="s">
        <v>248</v>
      </c>
      <c r="B220" s="50"/>
      <c r="C220" s="52"/>
      <c r="D220" s="9">
        <v>226</v>
      </c>
      <c r="E220" s="93">
        <v>23580.48</v>
      </c>
      <c r="F220" s="89" t="s">
        <v>73</v>
      </c>
      <c r="G220" s="18"/>
      <c r="H220" s="66" t="s">
        <v>318</v>
      </c>
      <c r="I220" s="88" t="s">
        <v>375</v>
      </c>
    </row>
    <row r="221" spans="1:9" ht="21.75" customHeight="1">
      <c r="A221" s="13" t="s">
        <v>253</v>
      </c>
      <c r="B221" s="50"/>
      <c r="C221" s="52"/>
      <c r="D221" s="52"/>
      <c r="E221" s="119"/>
      <c r="F221" s="120"/>
      <c r="G221" s="121"/>
      <c r="H221" s="122"/>
      <c r="I221" s="88"/>
    </row>
    <row r="222" spans="1:9" ht="32.25" customHeight="1">
      <c r="A222" s="15" t="s">
        <v>254</v>
      </c>
      <c r="B222" s="50"/>
      <c r="C222" s="52"/>
      <c r="D222" s="9">
        <v>225</v>
      </c>
      <c r="E222" s="93">
        <f>6000+680.19</f>
        <v>6680.1900000000005</v>
      </c>
      <c r="F222" s="89" t="s">
        <v>73</v>
      </c>
      <c r="G222" s="18"/>
      <c r="H222" s="66" t="s">
        <v>312</v>
      </c>
      <c r="I222" s="88"/>
    </row>
    <row r="223" spans="1:9" ht="21.75" customHeight="1">
      <c r="A223" s="15" t="s">
        <v>43</v>
      </c>
      <c r="B223" s="50"/>
      <c r="C223" s="52"/>
      <c r="D223" s="9">
        <v>225</v>
      </c>
      <c r="E223" s="93">
        <f>2000-1319.81-680.19</f>
        <v>0</v>
      </c>
      <c r="F223" s="89" t="s">
        <v>73</v>
      </c>
      <c r="G223" s="18"/>
      <c r="H223" s="66"/>
      <c r="I223" s="88"/>
    </row>
    <row r="224" spans="1:9" ht="28.5" customHeight="1">
      <c r="A224" s="15" t="s">
        <v>305</v>
      </c>
      <c r="B224" s="50"/>
      <c r="C224" s="52"/>
      <c r="D224" s="9">
        <v>225</v>
      </c>
      <c r="E224" s="93">
        <f>15000+1319.81</f>
        <v>16319.81</v>
      </c>
      <c r="F224" s="89" t="s">
        <v>73</v>
      </c>
      <c r="G224" s="18"/>
      <c r="H224" s="66" t="s">
        <v>306</v>
      </c>
      <c r="I224" s="88"/>
    </row>
    <row r="225" spans="1:9" ht="42.75" customHeight="1">
      <c r="A225" s="15" t="s">
        <v>248</v>
      </c>
      <c r="B225" s="50"/>
      <c r="C225" s="52"/>
      <c r="D225" s="9">
        <v>226</v>
      </c>
      <c r="E225" s="93">
        <v>127015</v>
      </c>
      <c r="F225" s="89" t="s">
        <v>73</v>
      </c>
      <c r="G225" s="18"/>
      <c r="H225" s="66" t="s">
        <v>317</v>
      </c>
      <c r="I225" s="88" t="s">
        <v>375</v>
      </c>
    </row>
    <row r="226" spans="1:9" ht="39" customHeight="1">
      <c r="A226" s="15" t="s">
        <v>247</v>
      </c>
      <c r="B226" s="50"/>
      <c r="C226" s="52"/>
      <c r="D226" s="9">
        <v>226</v>
      </c>
      <c r="E226" s="93">
        <v>7433</v>
      </c>
      <c r="F226" s="89" t="s">
        <v>73</v>
      </c>
      <c r="G226" s="18"/>
      <c r="H226" s="66" t="s">
        <v>349</v>
      </c>
      <c r="I226" s="88"/>
    </row>
    <row r="227" spans="1:9" ht="33.75" customHeight="1">
      <c r="A227" s="15" t="s">
        <v>255</v>
      </c>
      <c r="B227" s="50"/>
      <c r="C227" s="52"/>
      <c r="D227" s="9">
        <v>226</v>
      </c>
      <c r="E227" s="93">
        <f>28272-5662+2219.6</f>
        <v>24829.6</v>
      </c>
      <c r="F227" s="89" t="s">
        <v>73</v>
      </c>
      <c r="G227" s="18"/>
      <c r="H227" s="66" t="s">
        <v>312</v>
      </c>
      <c r="I227" s="88"/>
    </row>
    <row r="228" spans="1:9" ht="21.75" customHeight="1">
      <c r="A228" s="15" t="s">
        <v>255</v>
      </c>
      <c r="B228" s="50"/>
      <c r="C228" s="52"/>
      <c r="D228" s="9">
        <v>226</v>
      </c>
      <c r="E228" s="93">
        <f>5662-5662</f>
        <v>0</v>
      </c>
      <c r="F228" s="89" t="s">
        <v>91</v>
      </c>
      <c r="G228" s="18"/>
      <c r="H228" s="66"/>
      <c r="I228" s="88"/>
    </row>
    <row r="229" spans="1:9" ht="21.75" customHeight="1">
      <c r="A229" s="15" t="s">
        <v>256</v>
      </c>
      <c r="B229" s="50"/>
      <c r="C229" s="52"/>
      <c r="D229" s="9">
        <v>226</v>
      </c>
      <c r="E229" s="93">
        <f>3800-1580.4-2219.6</f>
        <v>0</v>
      </c>
      <c r="F229" s="89" t="s">
        <v>73</v>
      </c>
      <c r="G229" s="18"/>
      <c r="H229" s="66"/>
      <c r="I229" s="88"/>
    </row>
    <row r="230" spans="1:9" ht="33" customHeight="1">
      <c r="A230" s="15" t="s">
        <v>256</v>
      </c>
      <c r="B230" s="50"/>
      <c r="C230" s="52"/>
      <c r="D230" s="9">
        <v>226</v>
      </c>
      <c r="E230" s="93">
        <v>1580.4</v>
      </c>
      <c r="F230" s="89" t="s">
        <v>73</v>
      </c>
      <c r="G230" s="18"/>
      <c r="H230" s="66" t="s">
        <v>306</v>
      </c>
      <c r="I230" s="88"/>
    </row>
    <row r="231" spans="1:9" ht="30.75" customHeight="1">
      <c r="A231" s="15" t="s">
        <v>249</v>
      </c>
      <c r="B231" s="50"/>
      <c r="C231" s="52"/>
      <c r="D231" s="9">
        <v>227</v>
      </c>
      <c r="E231" s="93">
        <v>2940</v>
      </c>
      <c r="F231" s="89" t="s">
        <v>73</v>
      </c>
      <c r="G231" s="18"/>
      <c r="H231" s="66" t="s">
        <v>299</v>
      </c>
      <c r="I231" s="88"/>
    </row>
    <row r="232" spans="1:9" ht="30.75" customHeight="1">
      <c r="A232" s="15" t="s">
        <v>33</v>
      </c>
      <c r="B232" s="50"/>
      <c r="C232" s="52"/>
      <c r="D232" s="9">
        <v>341</v>
      </c>
      <c r="E232" s="93">
        <v>3412.5</v>
      </c>
      <c r="F232" s="89" t="s">
        <v>73</v>
      </c>
      <c r="G232" s="18"/>
      <c r="H232" s="66" t="s">
        <v>307</v>
      </c>
      <c r="I232" s="88"/>
    </row>
    <row r="233" spans="1:9" ht="30.75" customHeight="1">
      <c r="A233" s="15" t="s">
        <v>250</v>
      </c>
      <c r="B233" s="50"/>
      <c r="C233" s="52"/>
      <c r="D233" s="9">
        <v>346</v>
      </c>
      <c r="E233" s="93">
        <v>1732.5</v>
      </c>
      <c r="F233" s="89" t="s">
        <v>73</v>
      </c>
      <c r="G233" s="18"/>
      <c r="H233" s="66" t="s">
        <v>311</v>
      </c>
      <c r="I233" s="88"/>
    </row>
    <row r="234" spans="1:9" ht="34.5" customHeight="1">
      <c r="A234" s="15" t="s">
        <v>251</v>
      </c>
      <c r="B234" s="50"/>
      <c r="C234" s="52"/>
      <c r="D234" s="9">
        <v>346</v>
      </c>
      <c r="E234" s="93">
        <f>3412.5</f>
        <v>3412.5</v>
      </c>
      <c r="F234" s="89" t="s">
        <v>73</v>
      </c>
      <c r="G234" s="18"/>
      <c r="H234" s="66" t="s">
        <v>332</v>
      </c>
      <c r="I234" s="88"/>
    </row>
    <row r="235" spans="1:9" ht="21.75" customHeight="1">
      <c r="A235" s="15" t="s">
        <v>251</v>
      </c>
      <c r="B235" s="50"/>
      <c r="C235" s="52"/>
      <c r="D235" s="9">
        <v>346</v>
      </c>
      <c r="E235" s="93"/>
      <c r="F235" s="99" t="s">
        <v>91</v>
      </c>
      <c r="G235" s="18"/>
      <c r="H235" s="66"/>
      <c r="I235" s="88"/>
    </row>
    <row r="236" spans="1:9" ht="21.75" customHeight="1">
      <c r="A236" s="15"/>
      <c r="B236" s="50"/>
      <c r="C236" s="52"/>
      <c r="D236" s="9"/>
      <c r="E236" s="93"/>
      <c r="F236" s="99"/>
      <c r="G236" s="18"/>
      <c r="H236" s="66"/>
      <c r="I236" s="88"/>
    </row>
    <row r="237" spans="1:9" ht="21.75" customHeight="1">
      <c r="A237" s="15"/>
      <c r="B237" s="50"/>
      <c r="C237" s="52"/>
      <c r="D237" s="9"/>
      <c r="E237" s="93"/>
      <c r="F237" s="99"/>
      <c r="G237" s="18"/>
      <c r="H237" s="66"/>
      <c r="I237" s="88"/>
    </row>
    <row r="238" spans="1:9" ht="21.75" customHeight="1">
      <c r="A238" s="13" t="s">
        <v>257</v>
      </c>
      <c r="B238" s="50"/>
      <c r="C238" s="52"/>
      <c r="D238" s="9"/>
      <c r="E238" s="93"/>
      <c r="F238" s="99"/>
      <c r="G238" s="18"/>
      <c r="H238" s="66"/>
      <c r="I238" s="88"/>
    </row>
    <row r="239" spans="1:9" ht="36" customHeight="1">
      <c r="A239" s="15" t="s">
        <v>258</v>
      </c>
      <c r="B239" s="50"/>
      <c r="C239" s="52"/>
      <c r="D239" s="9">
        <v>226</v>
      </c>
      <c r="E239" s="93">
        <f>22800+68400</f>
        <v>91200</v>
      </c>
      <c r="F239" s="89" t="s">
        <v>73</v>
      </c>
      <c r="G239" s="18"/>
      <c r="H239" s="66" t="s">
        <v>312</v>
      </c>
      <c r="I239" s="88"/>
    </row>
    <row r="240" spans="1:9" ht="21.75" customHeight="1">
      <c r="A240" s="15" t="s">
        <v>258</v>
      </c>
      <c r="B240" s="50"/>
      <c r="C240" s="52"/>
      <c r="D240" s="9">
        <v>226</v>
      </c>
      <c r="E240" s="93">
        <f>68400-68400</f>
        <v>0</v>
      </c>
      <c r="F240" s="89" t="s">
        <v>73</v>
      </c>
      <c r="G240" s="18"/>
      <c r="H240" s="66"/>
      <c r="I240" s="88"/>
    </row>
    <row r="241" spans="1:9" ht="33.75" customHeight="1">
      <c r="A241" s="15" t="s">
        <v>259</v>
      </c>
      <c r="B241" s="50"/>
      <c r="C241" s="10"/>
      <c r="D241" s="9">
        <v>346</v>
      </c>
      <c r="E241" s="93">
        <f>9700-3000</f>
        <v>6700</v>
      </c>
      <c r="F241" s="89" t="s">
        <v>73</v>
      </c>
      <c r="G241" s="18"/>
      <c r="H241" s="66" t="s">
        <v>332</v>
      </c>
      <c r="I241" s="88"/>
    </row>
    <row r="242" spans="1:9" ht="30.75" customHeight="1">
      <c r="A242" s="15" t="s">
        <v>304</v>
      </c>
      <c r="B242" s="50"/>
      <c r="C242" s="10"/>
      <c r="D242" s="9">
        <v>310</v>
      </c>
      <c r="E242" s="93">
        <f>3000-2</f>
        <v>2998</v>
      </c>
      <c r="F242" s="89" t="s">
        <v>73</v>
      </c>
      <c r="G242" s="18"/>
      <c r="H242" s="66" t="s">
        <v>332</v>
      </c>
      <c r="I242" s="88"/>
    </row>
    <row r="243" spans="1:9" ht="21.75" customHeight="1">
      <c r="A243" s="15" t="s">
        <v>304</v>
      </c>
      <c r="B243" s="50"/>
      <c r="C243" s="10"/>
      <c r="D243" s="9">
        <v>310</v>
      </c>
      <c r="E243" s="93">
        <v>2</v>
      </c>
      <c r="F243" s="89" t="s">
        <v>73</v>
      </c>
      <c r="G243" s="18"/>
      <c r="H243" s="66"/>
      <c r="I243" s="88"/>
    </row>
    <row r="244" spans="1:9" ht="21.75" customHeight="1">
      <c r="A244" s="13" t="s">
        <v>264</v>
      </c>
      <c r="B244" s="50"/>
      <c r="C244" s="52"/>
      <c r="D244" s="52"/>
      <c r="E244" s="119"/>
      <c r="F244" s="120"/>
      <c r="G244" s="121"/>
      <c r="H244" s="122"/>
      <c r="I244" s="88"/>
    </row>
    <row r="245" spans="1:9" ht="35.25" customHeight="1">
      <c r="A245" s="15" t="s">
        <v>248</v>
      </c>
      <c r="B245" s="50"/>
      <c r="C245" s="10"/>
      <c r="D245" s="10">
        <v>226</v>
      </c>
      <c r="E245" s="93">
        <v>35000</v>
      </c>
      <c r="F245" s="89" t="s">
        <v>73</v>
      </c>
      <c r="G245" s="18"/>
      <c r="H245" s="66" t="s">
        <v>317</v>
      </c>
      <c r="I245" s="88" t="s">
        <v>375</v>
      </c>
    </row>
    <row r="246" spans="1:9" ht="12.75">
      <c r="A246" s="13" t="s">
        <v>166</v>
      </c>
      <c r="B246" s="13"/>
      <c r="C246" s="52"/>
      <c r="D246" s="52"/>
      <c r="E246" s="96"/>
      <c r="F246" s="120"/>
      <c r="G246" s="121"/>
      <c r="H246" s="122"/>
      <c r="I246" s="88"/>
    </row>
    <row r="247" spans="1:9" ht="12.75">
      <c r="A247" s="11"/>
      <c r="B247" s="31">
        <v>111900</v>
      </c>
      <c r="C247" s="10"/>
      <c r="D247" s="10">
        <v>0</v>
      </c>
      <c r="E247" s="34"/>
      <c r="F247" s="99"/>
      <c r="G247" s="18"/>
      <c r="H247" s="66"/>
      <c r="I247" s="92"/>
    </row>
    <row r="248" spans="1:9" ht="12.75">
      <c r="A248" s="3"/>
      <c r="B248" s="31">
        <v>50900</v>
      </c>
      <c r="C248" s="10"/>
      <c r="D248" s="10">
        <v>355</v>
      </c>
      <c r="E248" s="34"/>
      <c r="F248" s="89"/>
      <c r="G248" s="18"/>
      <c r="H248" s="67"/>
      <c r="I248" s="92"/>
    </row>
    <row r="249" spans="1:9" ht="12.75">
      <c r="A249" s="3"/>
      <c r="B249" s="31">
        <f>3978400-2373700</f>
        <v>1604700</v>
      </c>
      <c r="C249" s="10"/>
      <c r="D249" s="10">
        <v>3012</v>
      </c>
      <c r="E249" s="34"/>
      <c r="F249" s="89"/>
      <c r="G249" s="18"/>
      <c r="H249" s="67"/>
      <c r="I249" s="92"/>
    </row>
    <row r="250" spans="1:9" ht="12.75">
      <c r="A250" s="3"/>
      <c r="B250" s="31">
        <f>360000+24672.71</f>
        <v>384672.71</v>
      </c>
      <c r="C250" s="10"/>
      <c r="D250" s="10">
        <v>500</v>
      </c>
      <c r="E250" s="34"/>
      <c r="F250" s="89"/>
      <c r="G250" s="18"/>
      <c r="H250" s="68"/>
      <c r="I250" s="92"/>
    </row>
    <row r="251" spans="1:9" ht="12.75">
      <c r="A251" s="3"/>
      <c r="B251" s="19"/>
      <c r="C251" s="10"/>
      <c r="D251" s="10">
        <v>0</v>
      </c>
      <c r="E251" s="34">
        <f>111900-30500-24900+2401.6-E257</f>
        <v>52181.6</v>
      </c>
      <c r="F251" s="89" t="s">
        <v>73</v>
      </c>
      <c r="G251" s="18"/>
      <c r="H251" s="67"/>
      <c r="I251" s="92"/>
    </row>
    <row r="252" spans="1:9" ht="12.75">
      <c r="A252" s="3"/>
      <c r="B252" s="19"/>
      <c r="C252" s="10"/>
      <c r="D252" s="10">
        <v>355</v>
      </c>
      <c r="E252" s="34">
        <f>50900-13800-12100-E259</f>
        <v>15000</v>
      </c>
      <c r="F252" s="89" t="s">
        <v>73</v>
      </c>
      <c r="G252" s="18"/>
      <c r="H252" s="68"/>
      <c r="I252" s="92"/>
    </row>
    <row r="253" spans="1:9" ht="38.25">
      <c r="A253" s="3" t="s">
        <v>86</v>
      </c>
      <c r="B253" s="19"/>
      <c r="C253" s="10"/>
      <c r="D253" s="10">
        <v>3012</v>
      </c>
      <c r="E253" s="34">
        <f>686502-63477</f>
        <v>623025</v>
      </c>
      <c r="F253" s="89" t="s">
        <v>87</v>
      </c>
      <c r="G253" s="48" t="s">
        <v>315</v>
      </c>
      <c r="H253" s="69" t="s">
        <v>89</v>
      </c>
      <c r="I253" s="78" t="s">
        <v>375</v>
      </c>
    </row>
    <row r="254" spans="1:9" ht="15">
      <c r="A254" s="3"/>
      <c r="B254" s="19"/>
      <c r="C254" s="10"/>
      <c r="D254" s="10">
        <v>3012</v>
      </c>
      <c r="E254" s="34">
        <v>63477</v>
      </c>
      <c r="F254" s="89" t="s">
        <v>87</v>
      </c>
      <c r="G254" s="48"/>
      <c r="H254" s="69"/>
      <c r="I254" s="78"/>
    </row>
    <row r="255" spans="1:9" ht="12.75">
      <c r="A255" s="3"/>
      <c r="B255" s="19"/>
      <c r="C255" s="10"/>
      <c r="D255" s="10">
        <v>500</v>
      </c>
      <c r="E255" s="34">
        <f>360000+24672.71-360000-16795.18+8083.53</f>
        <v>15961.06000000002</v>
      </c>
      <c r="F255" s="89" t="s">
        <v>73</v>
      </c>
      <c r="G255" s="18"/>
      <c r="H255" s="68"/>
      <c r="I255" s="78" t="s">
        <v>375</v>
      </c>
    </row>
    <row r="256" spans="1:9" ht="19.5" customHeight="1">
      <c r="A256" s="3"/>
      <c r="B256" s="19"/>
      <c r="C256" s="10"/>
      <c r="D256" s="10">
        <v>500</v>
      </c>
      <c r="E256" s="34">
        <f>360000-24052.1-10006.54-113220-E258</f>
        <v>195801.36000000004</v>
      </c>
      <c r="F256" s="89" t="s">
        <v>73</v>
      </c>
      <c r="G256" s="18"/>
      <c r="H256" s="68"/>
      <c r="I256" s="78" t="s">
        <v>375</v>
      </c>
    </row>
    <row r="257" spans="1:9" ht="19.5" customHeight="1">
      <c r="A257" s="196" t="s">
        <v>371</v>
      </c>
      <c r="B257" s="187" t="s">
        <v>84</v>
      </c>
      <c r="C257" s="10"/>
      <c r="D257" s="10">
        <v>0</v>
      </c>
      <c r="E257" s="34">
        <v>6720</v>
      </c>
      <c r="F257" s="178" t="s">
        <v>73</v>
      </c>
      <c r="G257" s="18"/>
      <c r="H257" s="180" t="s">
        <v>372</v>
      </c>
      <c r="I257" s="163" t="s">
        <v>375</v>
      </c>
    </row>
    <row r="258" spans="1:9" ht="19.5" customHeight="1">
      <c r="A258" s="197"/>
      <c r="B258" s="188"/>
      <c r="C258" s="10"/>
      <c r="D258" s="10">
        <v>500</v>
      </c>
      <c r="E258" s="34">
        <v>16920</v>
      </c>
      <c r="F258" s="206"/>
      <c r="G258" s="18"/>
      <c r="H258" s="230"/>
      <c r="I258" s="164"/>
    </row>
    <row r="259" spans="1:9" ht="19.5" customHeight="1">
      <c r="A259" s="198"/>
      <c r="B259" s="189"/>
      <c r="C259" s="10"/>
      <c r="D259" s="10">
        <v>355</v>
      </c>
      <c r="E259" s="34">
        <v>10000</v>
      </c>
      <c r="F259" s="179"/>
      <c r="G259" s="18"/>
      <c r="H259" s="225"/>
      <c r="I259" s="165"/>
    </row>
    <row r="260" spans="1:9" ht="19.5" customHeight="1">
      <c r="A260" s="196" t="s">
        <v>225</v>
      </c>
      <c r="B260" s="187" t="s">
        <v>84</v>
      </c>
      <c r="C260" s="10"/>
      <c r="D260" s="10">
        <v>0</v>
      </c>
      <c r="E260" s="34">
        <v>24900</v>
      </c>
      <c r="F260" s="178" t="s">
        <v>73</v>
      </c>
      <c r="G260" s="18"/>
      <c r="H260" s="180" t="s">
        <v>226</v>
      </c>
      <c r="I260" s="163" t="s">
        <v>375</v>
      </c>
    </row>
    <row r="261" spans="1:9" ht="19.5" customHeight="1">
      <c r="A261" s="197"/>
      <c r="B261" s="188"/>
      <c r="C261" s="10"/>
      <c r="D261" s="10">
        <v>500</v>
      </c>
      <c r="E261" s="34">
        <v>16795.18</v>
      </c>
      <c r="F261" s="206"/>
      <c r="G261" s="18"/>
      <c r="H261" s="222"/>
      <c r="I261" s="164"/>
    </row>
    <row r="262" spans="1:9" ht="19.5" customHeight="1">
      <c r="A262" s="198"/>
      <c r="B262" s="189"/>
      <c r="C262" s="10"/>
      <c r="D262" s="10">
        <v>355</v>
      </c>
      <c r="E262" s="34">
        <v>12100</v>
      </c>
      <c r="F262" s="179"/>
      <c r="G262" s="18"/>
      <c r="H262" s="181"/>
      <c r="I262" s="165"/>
    </row>
    <row r="263" spans="1:9" ht="25.5">
      <c r="A263" s="3" t="s">
        <v>77</v>
      </c>
      <c r="B263" s="19"/>
      <c r="C263" s="10"/>
      <c r="D263" s="10">
        <v>500</v>
      </c>
      <c r="E263" s="34">
        <v>24052.1</v>
      </c>
      <c r="F263" s="89" t="s">
        <v>73</v>
      </c>
      <c r="G263" s="18"/>
      <c r="H263" s="67" t="s">
        <v>78</v>
      </c>
      <c r="I263" s="78" t="s">
        <v>375</v>
      </c>
    </row>
    <row r="264" spans="1:9" ht="26.25" customHeight="1">
      <c r="A264" s="129" t="s">
        <v>141</v>
      </c>
      <c r="B264" s="128" t="s">
        <v>84</v>
      </c>
      <c r="C264" s="10"/>
      <c r="D264" s="10">
        <v>500</v>
      </c>
      <c r="E264" s="34">
        <v>113220</v>
      </c>
      <c r="F264" s="89" t="s">
        <v>73</v>
      </c>
      <c r="G264" s="18"/>
      <c r="H264" s="73" t="s">
        <v>140</v>
      </c>
      <c r="I264" s="78" t="s">
        <v>375</v>
      </c>
    </row>
    <row r="265" spans="1:9" ht="12.75">
      <c r="A265" s="196" t="s">
        <v>79</v>
      </c>
      <c r="B265" s="199" t="s">
        <v>84</v>
      </c>
      <c r="C265" s="10"/>
      <c r="D265" s="10">
        <v>500</v>
      </c>
      <c r="E265" s="34">
        <f>10006.54-8083.53</f>
        <v>1923.0100000000011</v>
      </c>
      <c r="F265" s="178" t="s">
        <v>73</v>
      </c>
      <c r="G265" s="223" t="s">
        <v>244</v>
      </c>
      <c r="H265" s="180" t="s">
        <v>80</v>
      </c>
      <c r="I265" s="172" t="s">
        <v>375</v>
      </c>
    </row>
    <row r="266" spans="1:9" ht="12.75">
      <c r="A266" s="197"/>
      <c r="B266" s="188"/>
      <c r="C266" s="10"/>
      <c r="D266" s="10">
        <v>0</v>
      </c>
      <c r="E266" s="34">
        <f>30500-2401.6</f>
        <v>28098.4</v>
      </c>
      <c r="F266" s="206"/>
      <c r="G266" s="229"/>
      <c r="H266" s="230"/>
      <c r="I266" s="173"/>
    </row>
    <row r="267" spans="1:9" ht="12.75">
      <c r="A267" s="198"/>
      <c r="B267" s="189"/>
      <c r="C267" s="10"/>
      <c r="D267" s="10">
        <v>355</v>
      </c>
      <c r="E267" s="34">
        <v>13800</v>
      </c>
      <c r="F267" s="179"/>
      <c r="G267" s="224"/>
      <c r="H267" s="225"/>
      <c r="I267" s="174"/>
    </row>
    <row r="268" spans="1:9" ht="12.75">
      <c r="A268" s="53"/>
      <c r="B268" s="54"/>
      <c r="C268" s="10"/>
      <c r="D268" s="9" t="s">
        <v>205</v>
      </c>
      <c r="E268" s="34"/>
      <c r="F268" s="89" t="s">
        <v>336</v>
      </c>
      <c r="G268" s="55"/>
      <c r="H268" s="70"/>
      <c r="I268" s="78"/>
    </row>
    <row r="269" spans="1:9" ht="12.75">
      <c r="A269" s="196" t="s">
        <v>160</v>
      </c>
      <c r="B269" s="32" t="s">
        <v>69</v>
      </c>
      <c r="C269" s="10"/>
      <c r="D269" s="9" t="s">
        <v>204</v>
      </c>
      <c r="E269" s="34">
        <f>250380.92-110603.52+643.28-13546.38</f>
        <v>126874.30000000002</v>
      </c>
      <c r="F269" s="89" t="s">
        <v>73</v>
      </c>
      <c r="G269" s="223" t="s">
        <v>191</v>
      </c>
      <c r="H269" s="180" t="s">
        <v>159</v>
      </c>
      <c r="I269" s="163" t="s">
        <v>375</v>
      </c>
    </row>
    <row r="270" spans="1:9" ht="12.75">
      <c r="A270" s="198"/>
      <c r="B270" s="32" t="s">
        <v>70</v>
      </c>
      <c r="C270" s="10"/>
      <c r="D270" s="9" t="s">
        <v>205</v>
      </c>
      <c r="E270" s="34">
        <f>464255.08-205080.48+1192.72-25117.62</f>
        <v>235249.7</v>
      </c>
      <c r="F270" s="89" t="s">
        <v>73</v>
      </c>
      <c r="G270" s="224"/>
      <c r="H270" s="225"/>
      <c r="I270" s="165"/>
    </row>
    <row r="271" spans="1:9" ht="12.75">
      <c r="A271" s="47"/>
      <c r="B271" s="130" t="s">
        <v>110</v>
      </c>
      <c r="C271" s="10"/>
      <c r="D271" s="10">
        <v>3012</v>
      </c>
      <c r="E271" s="34">
        <f>150000-3780-135891+10000-6480-E277-6696+4511-4644</f>
        <v>0</v>
      </c>
      <c r="F271" s="89" t="s">
        <v>73</v>
      </c>
      <c r="G271" s="18"/>
      <c r="H271" s="68"/>
      <c r="I271" s="78"/>
    </row>
    <row r="272" spans="1:9" ht="12.75">
      <c r="A272" s="196" t="s">
        <v>151</v>
      </c>
      <c r="B272" s="130" t="s">
        <v>110</v>
      </c>
      <c r="C272" s="10"/>
      <c r="D272" s="10">
        <v>3012</v>
      </c>
      <c r="E272" s="34">
        <v>135891</v>
      </c>
      <c r="F272" s="178" t="s">
        <v>73</v>
      </c>
      <c r="G272" s="18"/>
      <c r="H272" s="180" t="s">
        <v>152</v>
      </c>
      <c r="I272" s="163" t="s">
        <v>375</v>
      </c>
    </row>
    <row r="273" spans="1:9" ht="12.75">
      <c r="A273" s="197"/>
      <c r="B273" s="32" t="s">
        <v>69</v>
      </c>
      <c r="C273" s="10"/>
      <c r="D273" s="9" t="s">
        <v>204</v>
      </c>
      <c r="E273" s="34">
        <f>110603.52-0.01</f>
        <v>110603.51000000001</v>
      </c>
      <c r="F273" s="206"/>
      <c r="G273" s="18"/>
      <c r="H273" s="222"/>
      <c r="I273" s="164"/>
    </row>
    <row r="274" spans="1:9" ht="12.75">
      <c r="A274" s="198"/>
      <c r="B274" s="32" t="s">
        <v>70</v>
      </c>
      <c r="C274" s="10"/>
      <c r="D274" s="9" t="s">
        <v>205</v>
      </c>
      <c r="E274" s="34">
        <f>205080.48+0.01</f>
        <v>205080.49000000002</v>
      </c>
      <c r="F274" s="179"/>
      <c r="G274" s="18"/>
      <c r="H274" s="181"/>
      <c r="I274" s="165"/>
    </row>
    <row r="275" spans="1:9" ht="25.5">
      <c r="A275" s="3" t="s">
        <v>131</v>
      </c>
      <c r="B275" s="130" t="s">
        <v>110</v>
      </c>
      <c r="C275" s="10"/>
      <c r="D275" s="10">
        <v>3012</v>
      </c>
      <c r="E275" s="34">
        <v>3780</v>
      </c>
      <c r="F275" s="89" t="s">
        <v>73</v>
      </c>
      <c r="G275" s="18"/>
      <c r="H275" s="67" t="s">
        <v>132</v>
      </c>
      <c r="I275" s="78" t="s">
        <v>375</v>
      </c>
    </row>
    <row r="276" spans="1:9" ht="25.5">
      <c r="A276" s="3" t="s">
        <v>161</v>
      </c>
      <c r="B276" s="130" t="s">
        <v>110</v>
      </c>
      <c r="C276" s="10"/>
      <c r="D276" s="10">
        <v>3012</v>
      </c>
      <c r="E276" s="34">
        <v>6480</v>
      </c>
      <c r="F276" s="89" t="s">
        <v>73</v>
      </c>
      <c r="G276" s="18"/>
      <c r="H276" s="67" t="s">
        <v>162</v>
      </c>
      <c r="I276" s="78" t="s">
        <v>375</v>
      </c>
    </row>
    <row r="277" spans="1:9" ht="25.5">
      <c r="A277" s="3" t="s">
        <v>193</v>
      </c>
      <c r="B277" s="130" t="s">
        <v>110</v>
      </c>
      <c r="C277" s="10"/>
      <c r="D277" s="10">
        <v>3012</v>
      </c>
      <c r="E277" s="34">
        <v>7020</v>
      </c>
      <c r="F277" s="89" t="s">
        <v>73</v>
      </c>
      <c r="G277" s="18"/>
      <c r="H277" s="67" t="s">
        <v>194</v>
      </c>
      <c r="I277" s="78" t="s">
        <v>375</v>
      </c>
    </row>
    <row r="278" spans="1:9" ht="25.5">
      <c r="A278" s="3" t="s">
        <v>237</v>
      </c>
      <c r="B278" s="130" t="s">
        <v>110</v>
      </c>
      <c r="C278" s="10"/>
      <c r="D278" s="10">
        <v>3012</v>
      </c>
      <c r="E278" s="34">
        <v>6696</v>
      </c>
      <c r="F278" s="89" t="s">
        <v>73</v>
      </c>
      <c r="G278" s="18"/>
      <c r="H278" s="67" t="s">
        <v>238</v>
      </c>
      <c r="I278" s="78" t="s">
        <v>375</v>
      </c>
    </row>
    <row r="279" spans="1:9" ht="25.5">
      <c r="A279" s="3" t="s">
        <v>300</v>
      </c>
      <c r="B279" s="130" t="s">
        <v>110</v>
      </c>
      <c r="C279" s="10"/>
      <c r="D279" s="10">
        <v>3012</v>
      </c>
      <c r="E279" s="34">
        <v>4644</v>
      </c>
      <c r="F279" s="89" t="s">
        <v>73</v>
      </c>
      <c r="G279" s="18"/>
      <c r="H279" s="67" t="s">
        <v>283</v>
      </c>
      <c r="I279" s="78" t="s">
        <v>375</v>
      </c>
    </row>
    <row r="280" spans="1:9" ht="25.5">
      <c r="A280" s="3" t="s">
        <v>301</v>
      </c>
      <c r="B280" s="130" t="s">
        <v>110</v>
      </c>
      <c r="C280" s="10"/>
      <c r="D280" s="10">
        <v>3012</v>
      </c>
      <c r="E280" s="34">
        <v>432</v>
      </c>
      <c r="F280" s="89" t="s">
        <v>73</v>
      </c>
      <c r="G280" s="18"/>
      <c r="H280" s="67" t="s">
        <v>302</v>
      </c>
      <c r="I280" s="78" t="s">
        <v>375</v>
      </c>
    </row>
    <row r="281" spans="1:9" ht="12.75">
      <c r="A281" s="130"/>
      <c r="B281" s="130" t="s">
        <v>110</v>
      </c>
      <c r="C281" s="10"/>
      <c r="D281" s="10">
        <v>3012</v>
      </c>
      <c r="E281" s="34">
        <f>3978400-2373700-686502-150000-10000-4511-432</f>
        <v>753255</v>
      </c>
      <c r="F281" s="89" t="s">
        <v>91</v>
      </c>
      <c r="G281" s="18"/>
      <c r="H281" s="67"/>
      <c r="I281" s="163" t="s">
        <v>375</v>
      </c>
    </row>
    <row r="282" spans="1:9" ht="12.75">
      <c r="A282" s="130"/>
      <c r="B282" s="130"/>
      <c r="C282" s="10"/>
      <c r="D282" s="9" t="s">
        <v>202</v>
      </c>
      <c r="E282" s="34">
        <v>13546.38</v>
      </c>
      <c r="F282" s="89" t="s">
        <v>91</v>
      </c>
      <c r="G282" s="18"/>
      <c r="H282" s="68"/>
      <c r="I282" s="164"/>
    </row>
    <row r="283" spans="1:9" ht="12.75">
      <c r="A283" s="130"/>
      <c r="B283" s="130"/>
      <c r="C283" s="10"/>
      <c r="D283" s="9" t="s">
        <v>203</v>
      </c>
      <c r="E283" s="34">
        <v>25117.62</v>
      </c>
      <c r="F283" s="89" t="s">
        <v>91</v>
      </c>
      <c r="G283" s="18"/>
      <c r="H283" s="68"/>
      <c r="I283" s="164"/>
    </row>
    <row r="284" spans="1:9" ht="12.75">
      <c r="A284" s="3"/>
      <c r="B284" s="32" t="s">
        <v>69</v>
      </c>
      <c r="C284" s="10"/>
      <c r="D284" s="9" t="s">
        <v>202</v>
      </c>
      <c r="E284" s="34">
        <f>1207520-250380.92-419294.4-643.28</f>
        <v>537201.3999999999</v>
      </c>
      <c r="F284" s="89" t="s">
        <v>91</v>
      </c>
      <c r="G284" s="18"/>
      <c r="H284" s="68"/>
      <c r="I284" s="164"/>
    </row>
    <row r="285" spans="1:9" ht="12.75">
      <c r="A285" s="3"/>
      <c r="B285" s="32" t="s">
        <v>70</v>
      </c>
      <c r="C285" s="10"/>
      <c r="D285" s="9" t="s">
        <v>203</v>
      </c>
      <c r="E285" s="34">
        <f>2238980-464255.08-777453.6-1192.72</f>
        <v>996078.6</v>
      </c>
      <c r="F285" s="89" t="s">
        <v>91</v>
      </c>
      <c r="G285" s="18"/>
      <c r="H285" s="68"/>
      <c r="I285" s="165"/>
    </row>
    <row r="286" spans="1:9" ht="12.75">
      <c r="A286" s="218" t="s">
        <v>178</v>
      </c>
      <c r="B286" s="32" t="s">
        <v>69</v>
      </c>
      <c r="C286" s="10"/>
      <c r="D286" s="9" t="s">
        <v>202</v>
      </c>
      <c r="E286" s="34">
        <f>419294.4-43022.99</f>
        <v>376271.41000000003</v>
      </c>
      <c r="F286" s="178" t="s">
        <v>111</v>
      </c>
      <c r="G286" s="220" t="s">
        <v>316</v>
      </c>
      <c r="H286" s="180" t="s">
        <v>179</v>
      </c>
      <c r="I286" s="163" t="s">
        <v>375</v>
      </c>
    </row>
    <row r="287" spans="1:9" ht="27" customHeight="1">
      <c r="A287" s="219"/>
      <c r="B287" s="32" t="s">
        <v>70</v>
      </c>
      <c r="C287" s="10"/>
      <c r="D287" s="9" t="s">
        <v>203</v>
      </c>
      <c r="E287" s="34">
        <f>777453.6-79773.01</f>
        <v>697680.59</v>
      </c>
      <c r="F287" s="179"/>
      <c r="G287" s="221"/>
      <c r="H287" s="181"/>
      <c r="I287" s="165"/>
    </row>
    <row r="288" spans="1:9" ht="27" customHeight="1">
      <c r="A288" s="131"/>
      <c r="B288" s="32" t="s">
        <v>69</v>
      </c>
      <c r="C288" s="10"/>
      <c r="D288" s="9" t="s">
        <v>202</v>
      </c>
      <c r="E288" s="34">
        <v>43022.99</v>
      </c>
      <c r="F288" s="178" t="s">
        <v>111</v>
      </c>
      <c r="G288" s="48"/>
      <c r="H288" s="68"/>
      <c r="I288" s="163" t="s">
        <v>375</v>
      </c>
    </row>
    <row r="289" spans="1:9" ht="27" customHeight="1">
      <c r="A289" s="131"/>
      <c r="B289" s="32" t="s">
        <v>70</v>
      </c>
      <c r="C289" s="10"/>
      <c r="D289" s="9" t="s">
        <v>203</v>
      </c>
      <c r="E289" s="34">
        <v>79773.01</v>
      </c>
      <c r="F289" s="179"/>
      <c r="G289" s="48"/>
      <c r="H289" s="68"/>
      <c r="I289" s="165"/>
    </row>
    <row r="290" spans="1:10" ht="15.75">
      <c r="A290" s="210" t="s">
        <v>22</v>
      </c>
      <c r="B290" s="211"/>
      <c r="C290" s="211"/>
      <c r="D290" s="211"/>
      <c r="E290" s="211"/>
      <c r="F290" s="211"/>
      <c r="G290" s="211"/>
      <c r="H290" s="211"/>
      <c r="I290" s="133"/>
      <c r="J290" s="71"/>
    </row>
    <row r="291" spans="1:9" ht="15.75">
      <c r="A291" s="212"/>
      <c r="B291" s="213"/>
      <c r="C291" s="213"/>
      <c r="D291" s="214"/>
      <c r="E291" s="134"/>
      <c r="F291" s="134"/>
      <c r="G291" s="135"/>
      <c r="H291" s="132"/>
      <c r="I291" s="133"/>
    </row>
    <row r="292" spans="1:9" ht="15.75">
      <c r="A292" s="1"/>
      <c r="B292" s="4"/>
      <c r="C292" s="4"/>
      <c r="D292" s="2">
        <v>226</v>
      </c>
      <c r="E292" s="136">
        <v>300000</v>
      </c>
      <c r="F292" s="89" t="s">
        <v>73</v>
      </c>
      <c r="G292" s="20"/>
      <c r="H292" s="76"/>
      <c r="I292" s="133"/>
    </row>
    <row r="293" spans="1:9" ht="15.75">
      <c r="A293" s="1"/>
      <c r="B293" s="20"/>
      <c r="C293" s="20"/>
      <c r="D293" s="21">
        <v>344</v>
      </c>
      <c r="E293" s="137">
        <v>60000</v>
      </c>
      <c r="F293" s="89" t="s">
        <v>73</v>
      </c>
      <c r="G293" s="20"/>
      <c r="H293" s="76"/>
      <c r="I293" s="133"/>
    </row>
    <row r="294" spans="1:9" ht="31.5">
      <c r="A294" s="1" t="s">
        <v>369</v>
      </c>
      <c r="B294" s="20"/>
      <c r="C294" s="20"/>
      <c r="D294" s="21">
        <v>310</v>
      </c>
      <c r="E294" s="137">
        <v>3540</v>
      </c>
      <c r="F294" s="89" t="s">
        <v>73</v>
      </c>
      <c r="G294" s="20"/>
      <c r="H294" s="76" t="s">
        <v>370</v>
      </c>
      <c r="I294" s="78" t="s">
        <v>375</v>
      </c>
    </row>
    <row r="295" spans="1:9" ht="15.75">
      <c r="A295" s="1"/>
      <c r="B295" s="20"/>
      <c r="C295" s="20"/>
      <c r="D295" s="21">
        <v>310</v>
      </c>
      <c r="E295" s="137">
        <f>90000.86-E294</f>
        <v>86460.86</v>
      </c>
      <c r="F295" s="89" t="s">
        <v>73</v>
      </c>
      <c r="G295" s="20"/>
      <c r="H295" s="76"/>
      <c r="I295" s="133"/>
    </row>
    <row r="296" spans="1:9" ht="15.75">
      <c r="A296" s="1"/>
      <c r="B296" s="20"/>
      <c r="C296" s="20"/>
      <c r="D296" s="21">
        <v>310</v>
      </c>
      <c r="E296" s="137">
        <v>2442.93</v>
      </c>
      <c r="F296" s="99" t="s">
        <v>91</v>
      </c>
      <c r="G296" s="20"/>
      <c r="H296" s="76"/>
      <c r="I296" s="133"/>
    </row>
    <row r="297" spans="1:9" ht="15.75">
      <c r="A297" s="1"/>
      <c r="B297" s="20"/>
      <c r="C297" s="20"/>
      <c r="D297" s="21">
        <v>349</v>
      </c>
      <c r="E297" s="137">
        <v>6741</v>
      </c>
      <c r="F297" s="89" t="s">
        <v>73</v>
      </c>
      <c r="G297" s="20"/>
      <c r="H297" s="76"/>
      <c r="I297" s="133"/>
    </row>
    <row r="298" spans="1:13" ht="12.75">
      <c r="A298" s="30"/>
      <c r="B298" s="30"/>
      <c r="C298" s="30"/>
      <c r="D298" s="17"/>
      <c r="E298" s="37"/>
      <c r="F298" s="30"/>
      <c r="G298" s="30"/>
      <c r="H298" s="77"/>
      <c r="I298" s="100"/>
      <c r="K298" s="138"/>
      <c r="M298" s="139"/>
    </row>
    <row r="299" spans="1:9" ht="30">
      <c r="A299" s="24"/>
      <c r="B299" s="24"/>
      <c r="C299" s="24"/>
      <c r="D299" s="140"/>
      <c r="E299" s="141" t="s">
        <v>44</v>
      </c>
      <c r="F299" s="29" t="s">
        <v>45</v>
      </c>
      <c r="G299" s="29"/>
      <c r="H299" s="72"/>
      <c r="I299" s="142"/>
    </row>
    <row r="300" spans="1:9" ht="15.75">
      <c r="A300" s="143" t="s">
        <v>46</v>
      </c>
      <c r="B300" s="144" t="s">
        <v>23</v>
      </c>
      <c r="C300" s="145"/>
      <c r="D300" s="146">
        <v>0.5</v>
      </c>
      <c r="E300" s="147">
        <f>E8*D300</f>
        <v>20842071.530000005</v>
      </c>
      <c r="F300" s="22">
        <f>E145+E146+E191+E192+E13+E14+E17+E19+E20+E32+E33+E82+E85+E86+E87+E88+E89+E91+E92+E94+E95+E99+E242+E100+E101+E102+E103+E110+E114+E115+E116+E117+E120+E122+E123+E124+E125+E131+E132+E133+E134+E135+E136+E137+E138+E139+E140+E141+E148+E194+E195+E197+E198+E199+E200+E201+E202+E203+E204+E205+E212+E214+E215+E216+E217+E218+E220+E222+E223+E225+E226+E227+E229+E231+E232+E233+E234+E239+E241+E245+E251+E252+E255+E256+E260+E261+E262+E263+E264+E265+E266+E267+E269+E270+E272+E273+E274+E275+E276+E277+E278+E279+E292+E293+E98+E240+E224+E184+E183+E280+E25+E230+E189+E190+E97+E83+E96+E213+E187+E188+E185+E186+E243+E113+E84+E126+E90+E112+E155+E107+E111+E152+E109+E153+E154+E294+E295+E257+E258+E259+E150+E108+E121+E149+E297+E156+E151</f>
        <v>15360102.84</v>
      </c>
      <c r="G300" s="22">
        <f>E300-F300</f>
        <v>5481968.690000005</v>
      </c>
      <c r="H300" s="207" t="s">
        <v>47</v>
      </c>
      <c r="I300" s="148"/>
    </row>
    <row r="301" spans="1:9" ht="20.25" customHeight="1">
      <c r="A301" s="143" t="s">
        <v>34</v>
      </c>
      <c r="B301" s="144" t="s">
        <v>24</v>
      </c>
      <c r="C301" s="144"/>
      <c r="D301" s="146" t="s">
        <v>25</v>
      </c>
      <c r="E301" s="147">
        <v>2000000</v>
      </c>
      <c r="F301" s="22">
        <f>E10+E11+E12+E15+E21+E22+E23+E26+E27+E28+E29+E30+E31+E34+E35+E36+E37+E38+E39+E40+E41+E54+E55+E56+E59+E60+E61+E62+E63+E67+E68+E69+E71+E72+E73+E74+E75+E76+E77+E78+E79+E80+E81+E93+E105+E106+E118+E128+E70+E16+E24+E64+E65+E66</f>
        <v>1200789.6</v>
      </c>
      <c r="G301" s="22">
        <f>E301-F301</f>
        <v>799210.3999999999</v>
      </c>
      <c r="H301" s="208"/>
      <c r="I301" s="148"/>
    </row>
    <row r="302" spans="1:9" ht="15">
      <c r="A302" s="149" t="s">
        <v>26</v>
      </c>
      <c r="B302" s="144" t="s">
        <v>48</v>
      </c>
      <c r="C302" s="144"/>
      <c r="D302" s="149"/>
      <c r="E302" s="150"/>
      <c r="F302" s="22"/>
      <c r="G302" s="23"/>
      <c r="H302" s="208"/>
      <c r="I302" s="148"/>
    </row>
    <row r="303" spans="1:9" ht="15">
      <c r="A303" s="149" t="s">
        <v>49</v>
      </c>
      <c r="B303" s="144" t="s">
        <v>27</v>
      </c>
      <c r="C303" s="144"/>
      <c r="D303" s="24"/>
      <c r="E303" s="150"/>
      <c r="F303" s="22">
        <f>E45+E47+E48+E52+E53+E46</f>
        <v>5114124.2299999995</v>
      </c>
      <c r="G303" s="23"/>
      <c r="H303" s="208"/>
      <c r="I303" s="148"/>
    </row>
    <row r="304" spans="1:9" ht="15">
      <c r="A304" s="149" t="s">
        <v>28</v>
      </c>
      <c r="B304" s="144" t="s">
        <v>50</v>
      </c>
      <c r="C304" s="144"/>
      <c r="D304" s="24"/>
      <c r="E304" s="150"/>
      <c r="F304" s="22">
        <f>E49+E50</f>
        <v>927600</v>
      </c>
      <c r="G304" s="23"/>
      <c r="H304" s="208"/>
      <c r="I304" s="148"/>
    </row>
    <row r="305" spans="1:9" ht="15">
      <c r="A305" s="149" t="s">
        <v>29</v>
      </c>
      <c r="B305" s="144" t="s">
        <v>51</v>
      </c>
      <c r="C305" s="144"/>
      <c r="D305" s="24"/>
      <c r="E305" s="150"/>
      <c r="F305" s="22" t="s">
        <v>363</v>
      </c>
      <c r="G305" s="23"/>
      <c r="H305" s="208"/>
      <c r="I305" s="148"/>
    </row>
    <row r="306" spans="1:9" ht="15">
      <c r="A306" s="149" t="s">
        <v>52</v>
      </c>
      <c r="B306" s="149" t="s">
        <v>53</v>
      </c>
      <c r="C306" s="149"/>
      <c r="D306" s="24"/>
      <c r="E306" s="23"/>
      <c r="F306" s="22"/>
      <c r="G306" s="23"/>
      <c r="H306" s="209"/>
      <c r="I306" s="148"/>
    </row>
    <row r="307" spans="1:9" ht="15.75">
      <c r="A307" s="151" t="s">
        <v>55</v>
      </c>
      <c r="C307" s="144"/>
      <c r="D307" s="152" t="s">
        <v>30</v>
      </c>
      <c r="E307" s="147">
        <f>E8*D307</f>
        <v>4168414.3060000013</v>
      </c>
      <c r="F307" s="22"/>
      <c r="G307" s="215">
        <f>F307+F308+F309</f>
        <v>4403661.499999999</v>
      </c>
      <c r="H307" s="185" t="s">
        <v>54</v>
      </c>
      <c r="I307" s="148"/>
    </row>
    <row r="308" spans="1:9" ht="15.75">
      <c r="A308" s="153" t="s">
        <v>88</v>
      </c>
      <c r="B308" s="154"/>
      <c r="C308" s="154"/>
      <c r="D308" s="155"/>
      <c r="E308" s="147"/>
      <c r="F308" s="22">
        <f>E253+E254</f>
        <v>686502</v>
      </c>
      <c r="G308" s="216"/>
      <c r="H308" s="185"/>
      <c r="I308" s="148"/>
    </row>
    <row r="309" spans="1:9" ht="30">
      <c r="A309" s="156" t="s">
        <v>56</v>
      </c>
      <c r="B309" s="24"/>
      <c r="C309" s="24"/>
      <c r="D309" s="140"/>
      <c r="E309" s="23"/>
      <c r="F309" s="22">
        <f>E287+E286+E181+E180+E179+E175+E174+E173+E161+E162+E163+E164+E165+E166+E176+E177+E178+E167+E168+E169+E170+E171+E172+E158+E159+E160+E143+E144+E288+E289</f>
        <v>3717159.499999999</v>
      </c>
      <c r="G309" s="217"/>
      <c r="H309" s="185"/>
      <c r="I309" s="148"/>
    </row>
    <row r="310" spans="1:9" ht="15">
      <c r="A310" s="24" t="s">
        <v>57</v>
      </c>
      <c r="B310" s="24"/>
      <c r="C310" s="24"/>
      <c r="D310" s="140"/>
      <c r="E310" s="23"/>
      <c r="F310" s="22">
        <f>E18+E44+E51+E207+E209+E281+E282+E283+E284+E285+E235+E268+E296</f>
        <v>14677864.889999999</v>
      </c>
      <c r="G310" s="23"/>
      <c r="H310" s="157"/>
      <c r="I310" s="148"/>
    </row>
    <row r="311" spans="1:8" ht="15">
      <c r="A311" s="36"/>
      <c r="B311" s="24"/>
      <c r="C311" s="24"/>
      <c r="D311" s="140"/>
      <c r="E311" s="23"/>
      <c r="F311" s="25"/>
      <c r="G311" s="25"/>
      <c r="H311" s="26"/>
    </row>
    <row r="312" spans="1:8" ht="15">
      <c r="A312" s="36"/>
      <c r="B312" s="144"/>
      <c r="C312" s="144"/>
      <c r="D312" s="24" t="s">
        <v>58</v>
      </c>
      <c r="E312" s="149" t="s">
        <v>59</v>
      </c>
      <c r="F312" s="22" t="b">
        <f>SUM(F300:F311)=E8</f>
        <v>1</v>
      </c>
      <c r="G312" s="24"/>
      <c r="H312" s="26"/>
    </row>
    <row r="313" spans="1:8" ht="15.75">
      <c r="A313" s="158" t="s">
        <v>60</v>
      </c>
      <c r="B313" s="159" t="s">
        <v>31</v>
      </c>
      <c r="C313" s="24"/>
      <c r="D313" s="160">
        <f>G307*B313</f>
        <v>660549.2249999999</v>
      </c>
      <c r="E313" s="161"/>
      <c r="F313" s="27"/>
      <c r="G313" s="27"/>
      <c r="H313" s="26"/>
    </row>
    <row r="314" spans="1:8" ht="15.75">
      <c r="A314" s="158" t="s">
        <v>61</v>
      </c>
      <c r="B314" s="159" t="s">
        <v>32</v>
      </c>
      <c r="C314" s="24"/>
      <c r="D314" s="160">
        <f>G307*B314</f>
        <v>1541281.5249999997</v>
      </c>
      <c r="E314" s="161"/>
      <c r="F314" s="27"/>
      <c r="G314" s="27"/>
      <c r="H314" s="26"/>
    </row>
    <row r="315" spans="1:7" ht="14.25">
      <c r="A315" s="35"/>
      <c r="B315" s="28"/>
      <c r="C315" s="28"/>
      <c r="D315" s="162"/>
      <c r="E315" s="28"/>
      <c r="F315" s="28"/>
      <c r="G315" s="28"/>
    </row>
    <row r="316" spans="1:7" ht="14.25">
      <c r="A316" s="35"/>
      <c r="B316" s="28"/>
      <c r="C316" s="28"/>
      <c r="D316" s="162"/>
      <c r="E316" s="28"/>
      <c r="F316" s="28"/>
      <c r="G316" s="28"/>
    </row>
    <row r="317" ht="12.75" hidden="1"/>
    <row r="318" ht="12.75" hidden="1"/>
    <row r="319" ht="12.75" hidden="1">
      <c r="H319" s="6">
        <v>444</v>
      </c>
    </row>
    <row r="320" ht="12.75" hidden="1"/>
  </sheetData>
  <sheetProtection/>
  <mergeCells count="108">
    <mergeCell ref="A170:A172"/>
    <mergeCell ref="A45:A46"/>
    <mergeCell ref="F45:F46"/>
    <mergeCell ref="A129:D129"/>
    <mergeCell ref="A130:D130"/>
    <mergeCell ref="A143:A144"/>
    <mergeCell ref="B143:C143"/>
    <mergeCell ref="H110:H111"/>
    <mergeCell ref="A6:A7"/>
    <mergeCell ref="B6:B7"/>
    <mergeCell ref="C6:C7"/>
    <mergeCell ref="D6:D7"/>
    <mergeCell ref="H45:H46"/>
    <mergeCell ref="A2:I2"/>
    <mergeCell ref="F6:F8"/>
    <mergeCell ref="G6:H6"/>
    <mergeCell ref="H7:H8"/>
    <mergeCell ref="G7:G8"/>
    <mergeCell ref="G173:G175"/>
    <mergeCell ref="B144:C144"/>
    <mergeCell ref="A161:A166"/>
    <mergeCell ref="A167:A169"/>
    <mergeCell ref="I6:I8"/>
    <mergeCell ref="F143:F144"/>
    <mergeCell ref="H143:H144"/>
    <mergeCell ref="F158:F160"/>
    <mergeCell ref="H161:H166"/>
    <mergeCell ref="F167:F172"/>
    <mergeCell ref="H153:H154"/>
    <mergeCell ref="G265:G267"/>
    <mergeCell ref="H265:H267"/>
    <mergeCell ref="F260:F262"/>
    <mergeCell ref="H260:H262"/>
    <mergeCell ref="F179:F181"/>
    <mergeCell ref="H179:H181"/>
    <mergeCell ref="F185:F186"/>
    <mergeCell ref="H257:H259"/>
    <mergeCell ref="F257:F259"/>
    <mergeCell ref="H197:H200"/>
    <mergeCell ref="A272:A274"/>
    <mergeCell ref="G286:G287"/>
    <mergeCell ref="H272:H274"/>
    <mergeCell ref="A269:A270"/>
    <mergeCell ref="G269:G270"/>
    <mergeCell ref="F272:F274"/>
    <mergeCell ref="H269:H270"/>
    <mergeCell ref="H307:H309"/>
    <mergeCell ref="H300:H306"/>
    <mergeCell ref="A290:H290"/>
    <mergeCell ref="A291:D291"/>
    <mergeCell ref="G307:G309"/>
    <mergeCell ref="A286:A287"/>
    <mergeCell ref="H286:H287"/>
    <mergeCell ref="F288:F289"/>
    <mergeCell ref="A265:A267"/>
    <mergeCell ref="B265:B267"/>
    <mergeCell ref="A260:A262"/>
    <mergeCell ref="A158:A160"/>
    <mergeCell ref="F161:F166"/>
    <mergeCell ref="F286:F287"/>
    <mergeCell ref="F265:F267"/>
    <mergeCell ref="A191:A192"/>
    <mergeCell ref="F191:F192"/>
    <mergeCell ref="A257:A259"/>
    <mergeCell ref="B260:B262"/>
    <mergeCell ref="B145:C145"/>
    <mergeCell ref="B146:C146"/>
    <mergeCell ref="F145:F146"/>
    <mergeCell ref="A187:A188"/>
    <mergeCell ref="A185:A186"/>
    <mergeCell ref="A153:A154"/>
    <mergeCell ref="F176:F178"/>
    <mergeCell ref="F173:F175"/>
    <mergeCell ref="B257:B259"/>
    <mergeCell ref="F189:F190"/>
    <mergeCell ref="A173:A175"/>
    <mergeCell ref="A179:A181"/>
    <mergeCell ref="A183:A184"/>
    <mergeCell ref="A189:A190"/>
    <mergeCell ref="H194:H195"/>
    <mergeCell ref="H185:H186"/>
    <mergeCell ref="H189:H190"/>
    <mergeCell ref="H173:H175"/>
    <mergeCell ref="I158:I160"/>
    <mergeCell ref="I173:I175"/>
    <mergeCell ref="I179:I181"/>
    <mergeCell ref="I176:I178"/>
    <mergeCell ref="I167:I172"/>
    <mergeCell ref="F187:F188"/>
    <mergeCell ref="H187:H188"/>
    <mergeCell ref="H183:H184"/>
    <mergeCell ref="I288:I289"/>
    <mergeCell ref="I281:I285"/>
    <mergeCell ref="I185:I186"/>
    <mergeCell ref="I187:I188"/>
    <mergeCell ref="I189:I190"/>
    <mergeCell ref="I257:I259"/>
    <mergeCell ref="I265:I267"/>
    <mergeCell ref="I260:I262"/>
    <mergeCell ref="A4:I4"/>
    <mergeCell ref="I183:I184"/>
    <mergeCell ref="I269:I270"/>
    <mergeCell ref="I272:I274"/>
    <mergeCell ref="I286:I287"/>
    <mergeCell ref="I110:I111"/>
    <mergeCell ref="I143:I144"/>
    <mergeCell ref="I145:I146"/>
    <mergeCell ref="I161:I166"/>
  </mergeCells>
  <printOptions/>
  <pageMargins left="0.6299212598425197" right="0.2362204724409449" top="0" bottom="0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>POI HSSF rep:2.49.1.173</dc:description>
  <cp:lastModifiedBy>User</cp:lastModifiedBy>
  <cp:lastPrinted>2021-07-28T08:53:39Z</cp:lastPrinted>
  <dcterms:created xsi:type="dcterms:W3CDTF">2020-01-30T07:51:59Z</dcterms:created>
  <dcterms:modified xsi:type="dcterms:W3CDTF">2021-08-24T10:47:09Z</dcterms:modified>
  <cp:category/>
  <cp:version/>
  <cp:contentType/>
  <cp:contentStatus/>
</cp:coreProperties>
</file>